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825" windowWidth="17655" windowHeight="8100" firstSheet="10" activeTab="19"/>
  </bookViews>
  <sheets>
    <sheet name="Amortiss" sheetId="1" r:id="rId1"/>
    <sheet name="Britain" sheetId="2" r:id="rId2"/>
    <sheet name="Cambon" sheetId="3" r:id="rId3"/>
    <sheet name="Debt" sheetId="4" r:id="rId4"/>
    <sheet name="Divers" sheetId="5" r:id="rId5"/>
    <sheet name="Experim" sheetId="6" r:id="rId6"/>
    <sheet name="Indes" sheetId="7" r:id="rId7"/>
    <sheet name="Interest" sheetId="8" r:id="rId8"/>
    <sheet name="Irr-matr" sheetId="9" r:id="rId9"/>
    <sheet name="Macro" sheetId="10" r:id="rId10"/>
    <sheet name="Militspe" sheetId="11" r:id="rId11"/>
    <sheet name="Mortalit" sheetId="12" r:id="rId12"/>
    <sheet name="P-Etat" sheetId="13" r:id="rId13"/>
    <sheet name="Path2" sheetId="14" r:id="rId14"/>
    <sheet name="Policy" sheetId="15" r:id="rId15"/>
    <sheet name="Popul" sheetId="16" r:id="rId16"/>
    <sheet name="Rate-mon" sheetId="17" r:id="rId17"/>
    <sheet name="Rentier1" sheetId="18" r:id="rId18"/>
    <sheet name="Return" sheetId="19" r:id="rId19"/>
    <sheet name="Revenues" sheetId="20" r:id="rId20"/>
    <sheet name="Studies" sheetId="21" r:id="rId21"/>
    <sheet name="Studies2" sheetId="22" r:id="rId22"/>
    <sheet name="Units" sheetId="23" r:id="rId23"/>
    <sheet name="Viager" sheetId="24" r:id="rId24"/>
    <sheet name="White" sheetId="27" r:id="rId25"/>
    <sheet name="Viagere" sheetId="25" r:id="rId26"/>
    <sheet name="Yearly" sheetId="26" r:id="rId27"/>
  </sheets>
  <definedNames>
    <definedName name="_xlnm.Print_Area" localSheetId="14">#REF!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5">#REF!</definedName>
    <definedName name="_xlnm.Print_Area" localSheetId="24">#REF!</definedName>
    <definedName name="_xlnm.Print_Area" localSheetId="26">#REF!</definedName>
    <definedName name="_xlnm.Sheet_Title" localSheetId="14">"A"</definedName>
    <definedName name="_xlnm.Sheet_Title" localSheetId="15">"A"</definedName>
    <definedName name="_xlnm.Sheet_Title" localSheetId="16">"A"</definedName>
    <definedName name="_xlnm.Sheet_Title" localSheetId="17">"A"</definedName>
    <definedName name="_xlnm.Sheet_Title" localSheetId="18">"A"</definedName>
    <definedName name="_xlnm.Sheet_Title" localSheetId="19">"A"</definedName>
    <definedName name="_xlnm.Sheet_Title" localSheetId="20">"A"</definedName>
    <definedName name="_xlnm.Sheet_Title" localSheetId="21">"A"</definedName>
    <definedName name="_xlnm.Sheet_Title" localSheetId="22">"A"</definedName>
    <definedName name="_xlnm.Sheet_Title" localSheetId="23">"A"</definedName>
    <definedName name="_xlnm.Sheet_Title" localSheetId="25">"A"</definedName>
    <definedName name="_xlnm.Sheet_Title" localSheetId="24">"A"</definedName>
    <definedName name="_xlnm.Sheet_Title" localSheetId="26">"A"</definedName>
  </definedNames>
  <calcPr calcId="125725" iterate="1"/>
  <webPublishing css="0" allowPng="1" codePage="0"/>
</workbook>
</file>

<file path=xl/calcChain.xml><?xml version="1.0" encoding="utf-8"?>
<calcChain xmlns="http://schemas.openxmlformats.org/spreadsheetml/2006/main">
  <c r="P92" i="4"/>
  <c r="P93"/>
  <c r="P94"/>
  <c r="P95"/>
  <c r="P96"/>
  <c r="P97"/>
  <c r="P98"/>
  <c r="P99"/>
  <c r="P100"/>
  <c r="P101"/>
  <c r="P102"/>
  <c r="P103"/>
  <c r="P104"/>
  <c r="P91"/>
  <c r="P90"/>
  <c r="C101"/>
  <c r="C100"/>
  <c r="C96"/>
  <c r="C95"/>
  <c r="F4" i="27"/>
  <c r="I4"/>
  <c r="J4" s="1"/>
  <c r="N4" s="1"/>
  <c r="F5"/>
  <c r="I5"/>
  <c r="J5" s="1"/>
  <c r="N5" s="1"/>
  <c r="H6"/>
  <c r="I6"/>
  <c r="J6" s="1"/>
  <c r="K6"/>
  <c r="L6" s="1"/>
  <c r="G7"/>
  <c r="H7" s="1"/>
  <c r="I7"/>
  <c r="J7" s="1"/>
  <c r="K7"/>
  <c r="L7" s="1"/>
  <c r="G8"/>
  <c r="H8" s="1"/>
  <c r="I8"/>
  <c r="J8" s="1"/>
  <c r="K8"/>
  <c r="L8" s="1"/>
  <c r="C9"/>
  <c r="H9"/>
  <c r="K9"/>
  <c r="L9" s="1"/>
  <c r="C10"/>
  <c r="H10"/>
  <c r="K10"/>
  <c r="L10" s="1"/>
  <c r="G11"/>
  <c r="H11" s="1"/>
  <c r="I11"/>
  <c r="J11" s="1"/>
  <c r="K11"/>
  <c r="L11" s="1"/>
  <c r="G12"/>
  <c r="H12" s="1"/>
  <c r="I12"/>
  <c r="J12" s="1"/>
  <c r="K12"/>
  <c r="L12" s="1"/>
  <c r="G13"/>
  <c r="H13" s="1"/>
  <c r="I13"/>
  <c r="J13" s="1"/>
  <c r="L13"/>
  <c r="H14"/>
  <c r="H15"/>
  <c r="J15"/>
  <c r="N15"/>
  <c r="Q15"/>
  <c r="G16"/>
  <c r="H16"/>
  <c r="J16"/>
  <c r="N16"/>
  <c r="Q16"/>
  <c r="F17"/>
  <c r="H17"/>
  <c r="J17"/>
  <c r="N17"/>
  <c r="F18"/>
  <c r="H18"/>
  <c r="I18"/>
  <c r="J18"/>
  <c r="N18" s="1"/>
  <c r="Q18"/>
  <c r="R18"/>
  <c r="Q19"/>
  <c r="R19" s="1"/>
  <c r="E24"/>
  <c r="F24" s="1"/>
  <c r="G24" s="1"/>
  <c r="J24"/>
  <c r="K24"/>
  <c r="E25"/>
  <c r="F25" s="1"/>
  <c r="G25" s="1"/>
  <c r="J25"/>
  <c r="K25"/>
  <c r="E26"/>
  <c r="F26" s="1"/>
  <c r="G26" s="1"/>
  <c r="J26"/>
  <c r="K26"/>
  <c r="E27"/>
  <c r="F27" s="1"/>
  <c r="G27" s="1"/>
  <c r="J27"/>
  <c r="K27"/>
  <c r="E28"/>
  <c r="F28" s="1"/>
  <c r="G28" s="1"/>
  <c r="J28"/>
  <c r="K28"/>
  <c r="E29"/>
  <c r="F29" s="1"/>
  <c r="G29" s="1"/>
  <c r="J29"/>
  <c r="K29"/>
  <c r="E30"/>
  <c r="F30" s="1"/>
  <c r="G30" s="1"/>
  <c r="J30"/>
  <c r="K30"/>
  <c r="E31"/>
  <c r="F31" s="1"/>
  <c r="G31" s="1"/>
  <c r="J31"/>
  <c r="K31"/>
  <c r="E32"/>
  <c r="F32" s="1"/>
  <c r="G32" s="1"/>
  <c r="J32"/>
  <c r="K32"/>
  <c r="E33"/>
  <c r="F33" s="1"/>
  <c r="G33" s="1"/>
  <c r="J33"/>
  <c r="K33"/>
  <c r="E34"/>
  <c r="F34" s="1"/>
  <c r="G34" s="1"/>
  <c r="J34"/>
  <c r="K34"/>
  <c r="E35"/>
  <c r="F35" s="1"/>
  <c r="G35" s="1"/>
  <c r="J35"/>
  <c r="K35"/>
  <c r="E36"/>
  <c r="F36" s="1"/>
  <c r="G36" s="1"/>
  <c r="J36"/>
  <c r="K36"/>
  <c r="E37"/>
  <c r="F37" s="1"/>
  <c r="G37" s="1"/>
  <c r="J37"/>
  <c r="K37"/>
  <c r="E38"/>
  <c r="F38" s="1"/>
  <c r="G38" s="1"/>
  <c r="J38"/>
  <c r="K38"/>
  <c r="E39"/>
  <c r="F39" s="1"/>
  <c r="G39" s="1"/>
  <c r="H41"/>
  <c r="C47"/>
  <c r="E47"/>
  <c r="I47"/>
  <c r="C48"/>
  <c r="E48" s="1"/>
  <c r="F49" s="1"/>
  <c r="E49" s="1"/>
  <c r="F50" s="1"/>
  <c r="F48"/>
  <c r="J48"/>
  <c r="C49"/>
  <c r="C50"/>
  <c r="E50" s="1"/>
  <c r="F51" s="1"/>
  <c r="E51" s="1"/>
  <c r="F52" s="1"/>
  <c r="C51"/>
  <c r="C52"/>
  <c r="E52" s="1"/>
  <c r="F53" s="1"/>
  <c r="E53" s="1"/>
  <c r="F54" s="1"/>
  <c r="C53"/>
  <c r="C54"/>
  <c r="E54" s="1"/>
  <c r="F55" s="1"/>
  <c r="E55" s="1"/>
  <c r="F56" s="1"/>
  <c r="C55"/>
  <c r="C56"/>
  <c r="E56" s="1"/>
  <c r="F57" s="1"/>
  <c r="E57" s="1"/>
  <c r="F58" s="1"/>
  <c r="C57"/>
  <c r="C58"/>
  <c r="E58" s="1"/>
  <c r="F59" s="1"/>
  <c r="E59" s="1"/>
  <c r="F60" s="1"/>
  <c r="C59"/>
  <c r="C60"/>
  <c r="E60" s="1"/>
  <c r="F61" s="1"/>
  <c r="E61" s="1"/>
  <c r="F62" s="1"/>
  <c r="E62" s="1"/>
  <c r="F63" s="1"/>
  <c r="C61"/>
  <c r="C63"/>
  <c r="E63" s="1"/>
  <c r="F64" s="1"/>
  <c r="E64" s="1"/>
  <c r="F65" s="1"/>
  <c r="C64"/>
  <c r="C65"/>
  <c r="E65" s="1"/>
  <c r="F66" s="1"/>
  <c r="E66" s="1"/>
  <c r="F67" s="1"/>
  <c r="C66"/>
  <c r="C67"/>
  <c r="E67" s="1"/>
  <c r="F68" s="1"/>
  <c r="E68" s="1"/>
  <c r="F69" s="1"/>
  <c r="C68"/>
  <c r="C69"/>
  <c r="E69" s="1"/>
  <c r="F70" s="1"/>
  <c r="E70" s="1"/>
  <c r="F71" s="1"/>
  <c r="C70"/>
  <c r="C71"/>
  <c r="E71" s="1"/>
  <c r="F72" s="1"/>
  <c r="E72" s="1"/>
  <c r="F73" s="1"/>
  <c r="C72"/>
  <c r="C73"/>
  <c r="E73" s="1"/>
  <c r="F74" s="1"/>
  <c r="E74" s="1"/>
  <c r="F75" s="1"/>
  <c r="C74"/>
  <c r="C75"/>
  <c r="E75" s="1"/>
  <c r="F76" s="1"/>
  <c r="E76" s="1"/>
  <c r="F77" s="1"/>
  <c r="C76"/>
  <c r="C77"/>
  <c r="E77" s="1"/>
  <c r="F78" s="1"/>
  <c r="E78" s="1"/>
  <c r="F79" s="1"/>
  <c r="C78"/>
  <c r="C79"/>
  <c r="E79" s="1"/>
  <c r="F80" s="1"/>
  <c r="E80" s="1"/>
  <c r="F81" s="1"/>
  <c r="C80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E55" i="25"/>
  <c r="F55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G55"/>
  <c r="H55"/>
  <c r="I55"/>
  <c r="J55"/>
  <c r="J61" s="1"/>
  <c r="J62" s="1"/>
  <c r="J63" s="1"/>
  <c r="J64" s="1"/>
  <c r="J65" s="1"/>
  <c r="J66" s="1"/>
  <c r="J67" s="1"/>
  <c r="J68" s="1"/>
  <c r="J69" s="1"/>
  <c r="J70" s="1"/>
  <c r="J71" s="1"/>
  <c r="K55"/>
  <c r="L55"/>
  <c r="N55"/>
  <c r="O55"/>
  <c r="D56"/>
  <c r="D57"/>
  <c r="E57"/>
  <c r="E58"/>
  <c r="D58" s="1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H59"/>
  <c r="H60"/>
  <c r="H61" s="1"/>
  <c r="H62" s="1"/>
  <c r="H63" s="1"/>
  <c r="H64" s="1"/>
  <c r="H65" s="1"/>
  <c r="H66" s="1"/>
  <c r="H67" s="1"/>
  <c r="H68" s="1"/>
  <c r="H69" s="1"/>
  <c r="H70" s="1"/>
  <c r="H71" s="1"/>
  <c r="J60"/>
  <c r="I61"/>
  <c r="I62"/>
  <c r="I63" s="1"/>
  <c r="I64" s="1"/>
  <c r="I65" s="1"/>
  <c r="I66" s="1"/>
  <c r="I67" s="1"/>
  <c r="I68" s="1"/>
  <c r="I69" s="1"/>
  <c r="I70" s="1"/>
  <c r="I71" s="1"/>
  <c r="K62"/>
  <c r="K63" s="1"/>
  <c r="K64" s="1"/>
  <c r="K65" s="1"/>
  <c r="K66" s="1"/>
  <c r="K67" s="1"/>
  <c r="K68" s="1"/>
  <c r="K69" s="1"/>
  <c r="K70" s="1"/>
  <c r="K71" s="1"/>
  <c r="L63"/>
  <c r="L64"/>
  <c r="L65"/>
  <c r="L66"/>
  <c r="L67"/>
  <c r="L68" s="1"/>
  <c r="L69" s="1"/>
  <c r="L70" s="1"/>
  <c r="L71" s="1"/>
  <c r="N67"/>
  <c r="N68"/>
  <c r="N69" s="1"/>
  <c r="N70" s="1"/>
  <c r="N71" s="1"/>
  <c r="O69"/>
  <c r="O70" s="1"/>
  <c r="O71" s="1"/>
  <c r="C5" i="24"/>
  <c r="I5"/>
  <c r="J5"/>
  <c r="K5"/>
  <c r="C6"/>
  <c r="I6"/>
  <c r="J6"/>
  <c r="K6"/>
  <c r="N6"/>
  <c r="O6"/>
  <c r="N7"/>
  <c r="O7"/>
  <c r="C8"/>
  <c r="I8"/>
  <c r="J8"/>
  <c r="K8"/>
  <c r="N8"/>
  <c r="O8"/>
  <c r="C9"/>
  <c r="I9"/>
  <c r="J9"/>
  <c r="K9"/>
  <c r="N9"/>
  <c r="O9"/>
  <c r="N10"/>
  <c r="O10"/>
  <c r="C11"/>
  <c r="I11"/>
  <c r="J11"/>
  <c r="K11"/>
  <c r="N11"/>
  <c r="O11"/>
  <c r="C12"/>
  <c r="I12"/>
  <c r="J12"/>
  <c r="K12"/>
  <c r="N12"/>
  <c r="O12"/>
  <c r="N13"/>
  <c r="O13"/>
  <c r="C14"/>
  <c r="I14"/>
  <c r="J14"/>
  <c r="K14"/>
  <c r="N14"/>
  <c r="O14"/>
  <c r="N15"/>
  <c r="O15"/>
  <c r="C16"/>
  <c r="I16"/>
  <c r="J16"/>
  <c r="K16"/>
  <c r="N16"/>
  <c r="O16"/>
  <c r="N17"/>
  <c r="O17"/>
  <c r="C18"/>
  <c r="I18"/>
  <c r="J18"/>
  <c r="K18"/>
  <c r="N18"/>
  <c r="O18"/>
  <c r="N19"/>
  <c r="O19"/>
  <c r="C20"/>
  <c r="I20"/>
  <c r="J20"/>
  <c r="K20"/>
  <c r="N20"/>
  <c r="O20"/>
  <c r="N21"/>
  <c r="O21"/>
  <c r="C22"/>
  <c r="I22"/>
  <c r="J22"/>
  <c r="K22"/>
  <c r="N22"/>
  <c r="O22"/>
  <c r="N23"/>
  <c r="O23"/>
  <c r="C24"/>
  <c r="I24"/>
  <c r="J24"/>
  <c r="K24"/>
  <c r="N24"/>
  <c r="O24"/>
  <c r="C25"/>
  <c r="I25"/>
  <c r="J25"/>
  <c r="K25"/>
  <c r="N25"/>
  <c r="O25"/>
  <c r="C26"/>
  <c r="I26"/>
  <c r="J26"/>
  <c r="K26"/>
  <c r="N26"/>
  <c r="O26"/>
  <c r="C27"/>
  <c r="I27"/>
  <c r="J27"/>
  <c r="K27"/>
  <c r="N27"/>
  <c r="O27"/>
  <c r="C28"/>
  <c r="I28"/>
  <c r="J28"/>
  <c r="K28"/>
  <c r="N28"/>
  <c r="O28"/>
  <c r="C29"/>
  <c r="I29"/>
  <c r="J29"/>
  <c r="K29"/>
  <c r="N29"/>
  <c r="O29"/>
  <c r="C30"/>
  <c r="I30"/>
  <c r="J30"/>
  <c r="K30"/>
  <c r="N30"/>
  <c r="O30"/>
  <c r="BB30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BS30" s="1"/>
  <c r="BT30" s="1"/>
  <c r="BU30" s="1"/>
  <c r="BV30" s="1"/>
  <c r="BW30" s="1"/>
  <c r="BX30" s="1"/>
  <c r="BY30" s="1"/>
  <c r="BZ30" s="1"/>
  <c r="CA30" s="1"/>
  <c r="CB30" s="1"/>
  <c r="CC30" s="1"/>
  <c r="CD30" s="1"/>
  <c r="CE30" s="1"/>
  <c r="CF30" s="1"/>
  <c r="CG30" s="1"/>
  <c r="CH30" s="1"/>
  <c r="CI30" s="1"/>
  <c r="CJ30" s="1"/>
  <c r="CK30" s="1"/>
  <c r="CL30" s="1"/>
  <c r="CM30" s="1"/>
  <c r="CN30" s="1"/>
  <c r="CO30" s="1"/>
  <c r="CP30" s="1"/>
  <c r="CQ30" s="1"/>
  <c r="CR30" s="1"/>
  <c r="CS30" s="1"/>
  <c r="CT30" s="1"/>
  <c r="N31"/>
  <c r="O31"/>
  <c r="C32"/>
  <c r="I32"/>
  <c r="J32"/>
  <c r="K32"/>
  <c r="N32"/>
  <c r="O32"/>
  <c r="C33"/>
  <c r="I33"/>
  <c r="J33"/>
  <c r="K33"/>
  <c r="N33"/>
  <c r="O33"/>
  <c r="C34"/>
  <c r="I34"/>
  <c r="J34"/>
  <c r="K34"/>
  <c r="N34"/>
  <c r="O34"/>
  <c r="N35"/>
  <c r="O35"/>
  <c r="C36"/>
  <c r="I36"/>
  <c r="J36"/>
  <c r="K36"/>
  <c r="N36"/>
  <c r="O36"/>
  <c r="C37"/>
  <c r="I37"/>
  <c r="J37"/>
  <c r="K37"/>
  <c r="N37"/>
  <c r="O37"/>
  <c r="C38"/>
  <c r="I38"/>
  <c r="J38"/>
  <c r="K38"/>
  <c r="N38"/>
  <c r="O38"/>
  <c r="C39"/>
  <c r="I39"/>
  <c r="J39"/>
  <c r="K39"/>
  <c r="N39"/>
  <c r="O39"/>
  <c r="C40"/>
  <c r="I40"/>
  <c r="J40"/>
  <c r="K40"/>
  <c r="N40"/>
  <c r="O40"/>
  <c r="C41"/>
  <c r="I41"/>
  <c r="J41"/>
  <c r="K41"/>
  <c r="N41"/>
  <c r="O41"/>
  <c r="N42"/>
  <c r="O42"/>
  <c r="C43"/>
  <c r="I43"/>
  <c r="J43"/>
  <c r="K43"/>
  <c r="N43"/>
  <c r="O43"/>
  <c r="C44"/>
  <c r="I44"/>
  <c r="J44"/>
  <c r="K44"/>
  <c r="N44"/>
  <c r="O44"/>
  <c r="C45"/>
  <c r="I45"/>
  <c r="J45"/>
  <c r="K45"/>
  <c r="N45"/>
  <c r="O45"/>
  <c r="C46"/>
  <c r="I46"/>
  <c r="J46"/>
  <c r="K46"/>
  <c r="N46"/>
  <c r="O46"/>
  <c r="N47"/>
  <c r="O47"/>
  <c r="C48"/>
  <c r="I48"/>
  <c r="J48"/>
  <c r="K48"/>
  <c r="N48"/>
  <c r="O48"/>
  <c r="C49"/>
  <c r="I49"/>
  <c r="J49"/>
  <c r="K49"/>
  <c r="N49"/>
  <c r="O49"/>
  <c r="C50"/>
  <c r="I50"/>
  <c r="J50"/>
  <c r="K50"/>
  <c r="N50"/>
  <c r="O50"/>
  <c r="C51"/>
  <c r="I51"/>
  <c r="J51"/>
  <c r="K51"/>
  <c r="N51"/>
  <c r="O51"/>
  <c r="C52"/>
  <c r="I52"/>
  <c r="J52"/>
  <c r="K52"/>
  <c r="N52"/>
  <c r="O52"/>
  <c r="C53"/>
  <c r="I53"/>
  <c r="J53"/>
  <c r="K53"/>
  <c r="N53"/>
  <c r="O53"/>
  <c r="C54"/>
  <c r="I54"/>
  <c r="J54"/>
  <c r="K54"/>
  <c r="N54"/>
  <c r="O54"/>
  <c r="C55"/>
  <c r="I55"/>
  <c r="J55"/>
  <c r="K55"/>
  <c r="N55"/>
  <c r="O55"/>
  <c r="C56"/>
  <c r="I56"/>
  <c r="J56"/>
  <c r="K56"/>
  <c r="N56"/>
  <c r="O56"/>
  <c r="C57"/>
  <c r="I57"/>
  <c r="J57"/>
  <c r="K57"/>
  <c r="N57"/>
  <c r="O57"/>
  <c r="C58"/>
  <c r="I58"/>
  <c r="J58"/>
  <c r="K58"/>
  <c r="N58"/>
  <c r="O58"/>
  <c r="O59"/>
  <c r="Q59"/>
  <c r="N59" s="1"/>
  <c r="R59"/>
  <c r="S59" s="1"/>
  <c r="T59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BP59" s="1"/>
  <c r="BQ59" s="1"/>
  <c r="BR59" s="1"/>
  <c r="BS59" s="1"/>
  <c r="BT59" s="1"/>
  <c r="BU59" s="1"/>
  <c r="BV59" s="1"/>
  <c r="C60"/>
  <c r="I60"/>
  <c r="J60"/>
  <c r="K60"/>
  <c r="N60"/>
  <c r="O60"/>
  <c r="C61"/>
  <c r="I61"/>
  <c r="J61"/>
  <c r="K61"/>
  <c r="N61"/>
  <c r="O61"/>
  <c r="C62"/>
  <c r="I62"/>
  <c r="J62"/>
  <c r="K62"/>
  <c r="N62"/>
  <c r="O62"/>
  <c r="C63"/>
  <c r="I63"/>
  <c r="J63"/>
  <c r="K63"/>
  <c r="N63"/>
  <c r="O63"/>
  <c r="C64"/>
  <c r="I64"/>
  <c r="J64"/>
  <c r="K64"/>
  <c r="N64"/>
  <c r="O64"/>
  <c r="C65"/>
  <c r="I65"/>
  <c r="J65"/>
  <c r="K65"/>
  <c r="N65"/>
  <c r="O65"/>
  <c r="C66"/>
  <c r="I66"/>
  <c r="J66"/>
  <c r="K66"/>
  <c r="N66"/>
  <c r="O66"/>
  <c r="C67"/>
  <c r="I67"/>
  <c r="J67"/>
  <c r="K67"/>
  <c r="N67"/>
  <c r="O67"/>
  <c r="C68"/>
  <c r="I68"/>
  <c r="J68"/>
  <c r="K68"/>
  <c r="N68"/>
  <c r="O68"/>
  <c r="C69"/>
  <c r="I69"/>
  <c r="J69"/>
  <c r="K69"/>
  <c r="N69"/>
  <c r="O69"/>
  <c r="C70"/>
  <c r="I70"/>
  <c r="J70"/>
  <c r="K70"/>
  <c r="N70"/>
  <c r="O70"/>
  <c r="C71"/>
  <c r="I71"/>
  <c r="J71"/>
  <c r="K71"/>
  <c r="N71"/>
  <c r="O71"/>
  <c r="C72"/>
  <c r="I72"/>
  <c r="J72"/>
  <c r="K72"/>
  <c r="N72"/>
  <c r="O72"/>
  <c r="C73"/>
  <c r="I73"/>
  <c r="J73"/>
  <c r="K73"/>
  <c r="N73"/>
  <c r="O73"/>
  <c r="C74"/>
  <c r="I74"/>
  <c r="J74"/>
  <c r="K74"/>
  <c r="N74"/>
  <c r="O74"/>
  <c r="C75"/>
  <c r="I75"/>
  <c r="J75"/>
  <c r="K75"/>
  <c r="N75"/>
  <c r="O75"/>
  <c r="C76"/>
  <c r="I76"/>
  <c r="J76"/>
  <c r="K76"/>
  <c r="N76"/>
  <c r="O76"/>
  <c r="C77"/>
  <c r="I77"/>
  <c r="J77"/>
  <c r="K77"/>
  <c r="N77"/>
  <c r="O77"/>
  <c r="C78"/>
  <c r="I78"/>
  <c r="J78"/>
  <c r="K78"/>
  <c r="N78"/>
  <c r="O78"/>
  <c r="C79"/>
  <c r="I79"/>
  <c r="J79"/>
  <c r="K79"/>
  <c r="N79"/>
  <c r="O79"/>
  <c r="C80"/>
  <c r="I80"/>
  <c r="J80"/>
  <c r="K80"/>
  <c r="N80"/>
  <c r="O80"/>
  <c r="C81"/>
  <c r="I81"/>
  <c r="J81"/>
  <c r="K81"/>
  <c r="N81"/>
  <c r="O81"/>
  <c r="C82"/>
  <c r="I82"/>
  <c r="J82"/>
  <c r="K82"/>
  <c r="N82"/>
  <c r="O82"/>
  <c r="C83"/>
  <c r="I83"/>
  <c r="J83"/>
  <c r="K83"/>
  <c r="N83"/>
  <c r="O83"/>
  <c r="C84"/>
  <c r="I84"/>
  <c r="J84"/>
  <c r="K84"/>
  <c r="N84"/>
  <c r="O84"/>
  <c r="C85"/>
  <c r="I85"/>
  <c r="J85"/>
  <c r="K85"/>
  <c r="N85"/>
  <c r="O85"/>
  <c r="C86"/>
  <c r="I86"/>
  <c r="J86"/>
  <c r="K86"/>
  <c r="N86"/>
  <c r="O86"/>
  <c r="C87"/>
  <c r="I87"/>
  <c r="J87"/>
  <c r="K87"/>
  <c r="N87"/>
  <c r="O87"/>
  <c r="C88"/>
  <c r="I88"/>
  <c r="J88"/>
  <c r="K88"/>
  <c r="N88"/>
  <c r="O88"/>
  <c r="C89"/>
  <c r="I89"/>
  <c r="J89"/>
  <c r="K89"/>
  <c r="N89"/>
  <c r="O89"/>
  <c r="C90"/>
  <c r="I90"/>
  <c r="J90"/>
  <c r="K90"/>
  <c r="N90"/>
  <c r="O90"/>
  <c r="C91"/>
  <c r="I91"/>
  <c r="J91"/>
  <c r="K91"/>
  <c r="N91"/>
  <c r="O91"/>
  <c r="C92"/>
  <c r="I92"/>
  <c r="J92"/>
  <c r="K92"/>
  <c r="N92"/>
  <c r="O92"/>
  <c r="C93"/>
  <c r="I93"/>
  <c r="J93"/>
  <c r="K93"/>
  <c r="N93"/>
  <c r="O93"/>
  <c r="C94"/>
  <c r="I94"/>
  <c r="J94"/>
  <c r="K94"/>
  <c r="N94"/>
  <c r="O94"/>
  <c r="C95"/>
  <c r="I95"/>
  <c r="J95"/>
  <c r="K95"/>
  <c r="N95"/>
  <c r="O95"/>
  <c r="C96"/>
  <c r="I96"/>
  <c r="J96"/>
  <c r="K96"/>
  <c r="N96"/>
  <c r="O96"/>
  <c r="C97"/>
  <c r="I97"/>
  <c r="J97"/>
  <c r="K97"/>
  <c r="N97"/>
  <c r="O97"/>
  <c r="C98"/>
  <c r="I98"/>
  <c r="J98"/>
  <c r="K98"/>
  <c r="N98"/>
  <c r="O98"/>
  <c r="C99"/>
  <c r="I99"/>
  <c r="J99"/>
  <c r="K99"/>
  <c r="N99"/>
  <c r="O99"/>
  <c r="C100"/>
  <c r="I100"/>
  <c r="J100"/>
  <c r="K100"/>
  <c r="N100"/>
  <c r="O100"/>
  <c r="C101"/>
  <c r="I101"/>
  <c r="J101"/>
  <c r="K101"/>
  <c r="N101"/>
  <c r="O101"/>
  <c r="C102"/>
  <c r="I102"/>
  <c r="J102"/>
  <c r="K102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P120"/>
  <c r="B131"/>
  <c r="B134" s="1"/>
  <c r="B133"/>
  <c r="E133"/>
  <c r="I134"/>
  <c r="K134"/>
  <c r="B135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I135"/>
  <c r="K135"/>
  <c r="I136"/>
  <c r="K136"/>
  <c r="I137"/>
  <c r="K137"/>
  <c r="I138"/>
  <c r="K138"/>
  <c r="I139"/>
  <c r="K139"/>
  <c r="I140"/>
  <c r="K140"/>
  <c r="I141"/>
  <c r="K141"/>
  <c r="I142"/>
  <c r="K142"/>
  <c r="I143"/>
  <c r="K143"/>
  <c r="I144"/>
  <c r="K144"/>
  <c r="I145"/>
  <c r="K145"/>
  <c r="G146"/>
  <c r="H146"/>
  <c r="I146"/>
  <c r="K146"/>
  <c r="G147"/>
  <c r="H147"/>
  <c r="I147"/>
  <c r="K147"/>
  <c r="G148"/>
  <c r="H148"/>
  <c r="I148"/>
  <c r="K148"/>
  <c r="G149"/>
  <c r="H149"/>
  <c r="I149"/>
  <c r="K149"/>
  <c r="G150"/>
  <c r="H150"/>
  <c r="I150"/>
  <c r="K150"/>
  <c r="G151"/>
  <c r="H151"/>
  <c r="I151"/>
  <c r="K151"/>
  <c r="G152"/>
  <c r="H152"/>
  <c r="I152"/>
  <c r="K152"/>
  <c r="G153"/>
  <c r="H153"/>
  <c r="I153"/>
  <c r="K153"/>
  <c r="G154"/>
  <c r="H154"/>
  <c r="I154"/>
  <c r="K154"/>
  <c r="G155"/>
  <c r="H155"/>
  <c r="I155"/>
  <c r="K155"/>
  <c r="G156"/>
  <c r="H156"/>
  <c r="I156"/>
  <c r="K156"/>
  <c r="G157"/>
  <c r="H157"/>
  <c r="I157"/>
  <c r="K157"/>
  <c r="G158"/>
  <c r="H158"/>
  <c r="I158"/>
  <c r="K158"/>
  <c r="G159"/>
  <c r="H159"/>
  <c r="I159"/>
  <c r="K159"/>
  <c r="G160"/>
  <c r="H160"/>
  <c r="I160"/>
  <c r="K160"/>
  <c r="G161"/>
  <c r="H161"/>
  <c r="I161"/>
  <c r="K161"/>
  <c r="G162"/>
  <c r="H162"/>
  <c r="I162"/>
  <c r="K162"/>
  <c r="G163"/>
  <c r="H163"/>
  <c r="I163"/>
  <c r="K163"/>
  <c r="G164"/>
  <c r="H164"/>
  <c r="I164"/>
  <c r="K164"/>
  <c r="G165"/>
  <c r="H165"/>
  <c r="I165"/>
  <c r="K165"/>
  <c r="G166"/>
  <c r="H166"/>
  <c r="I166"/>
  <c r="K166"/>
  <c r="G167"/>
  <c r="H167"/>
  <c r="I167"/>
  <c r="K167"/>
  <c r="G168"/>
  <c r="H168"/>
  <c r="I168"/>
  <c r="K168"/>
  <c r="G169"/>
  <c r="H169"/>
  <c r="I169"/>
  <c r="K169"/>
  <c r="G170"/>
  <c r="H170"/>
  <c r="I170"/>
  <c r="K170"/>
  <c r="G171"/>
  <c r="H171"/>
  <c r="I171"/>
  <c r="K171"/>
  <c r="G172"/>
  <c r="H172"/>
  <c r="I172"/>
  <c r="K172"/>
  <c r="G173"/>
  <c r="H173"/>
  <c r="I173"/>
  <c r="K173"/>
  <c r="G174"/>
  <c r="H174"/>
  <c r="I174"/>
  <c r="K174"/>
  <c r="G175"/>
  <c r="H175"/>
  <c r="I175"/>
  <c r="K175"/>
  <c r="G176"/>
  <c r="H176"/>
  <c r="I176"/>
  <c r="K176"/>
  <c r="G177"/>
  <c r="H177"/>
  <c r="I177"/>
  <c r="K177"/>
  <c r="G178"/>
  <c r="H178"/>
  <c r="I178"/>
  <c r="K178"/>
  <c r="G179"/>
  <c r="H179"/>
  <c r="I179"/>
  <c r="K179"/>
  <c r="G180"/>
  <c r="H180"/>
  <c r="I180"/>
  <c r="K180"/>
  <c r="G181"/>
  <c r="H181"/>
  <c r="I181"/>
  <c r="K181"/>
  <c r="G182"/>
  <c r="H182"/>
  <c r="I182"/>
  <c r="K182"/>
  <c r="G183"/>
  <c r="H183"/>
  <c r="I183"/>
  <c r="K183"/>
  <c r="G184"/>
  <c r="H184"/>
  <c r="I184"/>
  <c r="K184"/>
  <c r="G185"/>
  <c r="H185"/>
  <c r="I185"/>
  <c r="K185"/>
  <c r="G186"/>
  <c r="H186"/>
  <c r="I186"/>
  <c r="K186"/>
  <c r="G187"/>
  <c r="H187"/>
  <c r="I187"/>
  <c r="K187"/>
  <c r="G188"/>
  <c r="H188"/>
  <c r="I188"/>
  <c r="K188"/>
  <c r="G189"/>
  <c r="H189"/>
  <c r="I189"/>
  <c r="K189"/>
  <c r="G190"/>
  <c r="H190"/>
  <c r="I190"/>
  <c r="K190"/>
  <c r="G191"/>
  <c r="H191"/>
  <c r="I191"/>
  <c r="K191"/>
  <c r="G192"/>
  <c r="H192"/>
  <c r="I192"/>
  <c r="K192"/>
  <c r="G193"/>
  <c r="H193"/>
  <c r="I193"/>
  <c r="K193"/>
  <c r="G194"/>
  <c r="H194"/>
  <c r="I194"/>
  <c r="K194"/>
  <c r="G195"/>
  <c r="H195"/>
  <c r="I195"/>
  <c r="K195"/>
  <c r="G196"/>
  <c r="H196"/>
  <c r="I196"/>
  <c r="K196"/>
  <c r="G197"/>
  <c r="H197"/>
  <c r="I197"/>
  <c r="K197"/>
  <c r="G198"/>
  <c r="H198"/>
  <c r="I198"/>
  <c r="K198"/>
  <c r="G199"/>
  <c r="H199"/>
  <c r="I199"/>
  <c r="K199"/>
  <c r="G200"/>
  <c r="H200"/>
  <c r="I200"/>
  <c r="K200"/>
  <c r="G201"/>
  <c r="H201"/>
  <c r="I201"/>
  <c r="K201"/>
  <c r="G202"/>
  <c r="H202"/>
  <c r="I202"/>
  <c r="K202"/>
  <c r="G203"/>
  <c r="H203"/>
  <c r="I203"/>
  <c r="K203"/>
  <c r="G204"/>
  <c r="H204"/>
  <c r="I204"/>
  <c r="K204"/>
  <c r="G205"/>
  <c r="H205"/>
  <c r="I205"/>
  <c r="K205"/>
  <c r="G206"/>
  <c r="H206"/>
  <c r="I206"/>
  <c r="K206"/>
  <c r="G207"/>
  <c r="H207"/>
  <c r="I207"/>
  <c r="K207"/>
  <c r="G208"/>
  <c r="H208"/>
  <c r="I208"/>
  <c r="K208"/>
  <c r="G209"/>
  <c r="H209"/>
  <c r="I209"/>
  <c r="K209"/>
  <c r="G210"/>
  <c r="H210"/>
  <c r="I210"/>
  <c r="K210"/>
  <c r="G211"/>
  <c r="H211"/>
  <c r="I211"/>
  <c r="K211"/>
  <c r="G212"/>
  <c r="H212"/>
  <c r="I212"/>
  <c r="K212"/>
  <c r="G213"/>
  <c r="H213"/>
  <c r="I213"/>
  <c r="K213"/>
  <c r="G214"/>
  <c r="H214"/>
  <c r="I214"/>
  <c r="K214"/>
  <c r="G215"/>
  <c r="H215"/>
  <c r="I215"/>
  <c r="K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I227"/>
  <c r="I228"/>
  <c r="I229"/>
  <c r="I230"/>
  <c r="I231"/>
  <c r="I232"/>
  <c r="D236"/>
  <c r="F236"/>
  <c r="H236"/>
  <c r="I236"/>
  <c r="K236"/>
  <c r="L236"/>
  <c r="D237"/>
  <c r="D238" s="1"/>
  <c r="I237"/>
  <c r="K237"/>
  <c r="L237"/>
  <c r="K238"/>
  <c r="D239"/>
  <c r="D240" s="1"/>
  <c r="I239"/>
  <c r="K239"/>
  <c r="L239"/>
  <c r="K240"/>
  <c r="D241"/>
  <c r="D242" s="1"/>
  <c r="I241"/>
  <c r="K241"/>
  <c r="L241"/>
  <c r="K242"/>
  <c r="D243"/>
  <c r="D244" s="1"/>
  <c r="I243"/>
  <c r="K243"/>
  <c r="L243"/>
  <c r="K244"/>
  <c r="D245"/>
  <c r="D246" s="1"/>
  <c r="I245"/>
  <c r="K245"/>
  <c r="L245"/>
  <c r="K246"/>
  <c r="D247"/>
  <c r="D248" s="1"/>
  <c r="I247"/>
  <c r="K247"/>
  <c r="L247"/>
  <c r="K248"/>
  <c r="D249"/>
  <c r="D250" s="1"/>
  <c r="I249"/>
  <c r="K249"/>
  <c r="L249"/>
  <c r="K250"/>
  <c r="D251"/>
  <c r="D252" s="1"/>
  <c r="I251"/>
  <c r="K251"/>
  <c r="L251"/>
  <c r="K252"/>
  <c r="D253"/>
  <c r="D254" s="1"/>
  <c r="I253"/>
  <c r="K253"/>
  <c r="L253"/>
  <c r="K254"/>
  <c r="D255"/>
  <c r="D256" s="1"/>
  <c r="I255"/>
  <c r="K255"/>
  <c r="L255"/>
  <c r="K256"/>
  <c r="D257"/>
  <c r="D258" s="1"/>
  <c r="I257"/>
  <c r="K257"/>
  <c r="L257"/>
  <c r="K258"/>
  <c r="D259"/>
  <c r="D260" s="1"/>
  <c r="I259"/>
  <c r="K259"/>
  <c r="L259"/>
  <c r="K260"/>
  <c r="D261"/>
  <c r="D262" s="1"/>
  <c r="I261"/>
  <c r="K261"/>
  <c r="L261"/>
  <c r="K262"/>
  <c r="D263"/>
  <c r="D264" s="1"/>
  <c r="I263"/>
  <c r="K263"/>
  <c r="L263"/>
  <c r="K264"/>
  <c r="D265"/>
  <c r="D266" s="1"/>
  <c r="I265"/>
  <c r="K265"/>
  <c r="L265"/>
  <c r="K266"/>
  <c r="D267"/>
  <c r="D268" s="1"/>
  <c r="I267"/>
  <c r="K267"/>
  <c r="L267"/>
  <c r="K268"/>
  <c r="D269"/>
  <c r="D270" s="1"/>
  <c r="I269"/>
  <c r="K269"/>
  <c r="L269"/>
  <c r="K270"/>
  <c r="D271"/>
  <c r="D272" s="1"/>
  <c r="I271"/>
  <c r="K271"/>
  <c r="L271"/>
  <c r="K272"/>
  <c r="D273"/>
  <c r="D274" s="1"/>
  <c r="I273"/>
  <c r="K273"/>
  <c r="L273"/>
  <c r="K274"/>
  <c r="D275"/>
  <c r="D276" s="1"/>
  <c r="I275"/>
  <c r="K275"/>
  <c r="L275"/>
  <c r="K276"/>
  <c r="D277"/>
  <c r="D278" s="1"/>
  <c r="I277"/>
  <c r="K277"/>
  <c r="L277"/>
  <c r="K278"/>
  <c r="D279"/>
  <c r="D280" s="1"/>
  <c r="I279"/>
  <c r="K279"/>
  <c r="L279"/>
  <c r="K280"/>
  <c r="D281"/>
  <c r="D282" s="1"/>
  <c r="I281"/>
  <c r="K281"/>
  <c r="L281"/>
  <c r="K282"/>
  <c r="D283"/>
  <c r="D284" s="1"/>
  <c r="I283"/>
  <c r="K283"/>
  <c r="L283"/>
  <c r="K284"/>
  <c r="D285"/>
  <c r="D286" s="1"/>
  <c r="I285"/>
  <c r="K285"/>
  <c r="L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4" i="23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K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K421"/>
  <c r="J422"/>
  <c r="J423"/>
  <c r="J424"/>
  <c r="J425"/>
  <c r="K425"/>
  <c r="J426"/>
  <c r="K426"/>
  <c r="J427"/>
  <c r="K427"/>
  <c r="J428"/>
  <c r="K428"/>
  <c r="J429"/>
  <c r="K429"/>
  <c r="J430"/>
  <c r="K430"/>
  <c r="J431"/>
  <c r="K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K467"/>
  <c r="J468"/>
  <c r="J469"/>
  <c r="J470"/>
  <c r="J471"/>
  <c r="J472"/>
  <c r="J473"/>
  <c r="K473"/>
  <c r="J474"/>
  <c r="K474"/>
  <c r="J475"/>
  <c r="K475"/>
  <c r="J476"/>
  <c r="J477"/>
  <c r="J478"/>
  <c r="J479"/>
  <c r="J480"/>
  <c r="K480"/>
  <c r="J481"/>
  <c r="J482"/>
  <c r="J483"/>
  <c r="J484"/>
  <c r="J485"/>
  <c r="J486"/>
  <c r="J487"/>
  <c r="J488"/>
  <c r="J489"/>
  <c r="J490"/>
  <c r="J491"/>
  <c r="J492"/>
  <c r="J493"/>
  <c r="J494"/>
  <c r="J495"/>
  <c r="J496"/>
  <c r="K496"/>
  <c r="J497"/>
  <c r="J498"/>
  <c r="J499"/>
  <c r="J500"/>
  <c r="J501"/>
  <c r="K501"/>
  <c r="J502"/>
  <c r="J503"/>
  <c r="J504"/>
  <c r="J505"/>
  <c r="J506"/>
  <c r="J507"/>
  <c r="I4" i="22"/>
  <c r="K4"/>
  <c r="L4" s="1"/>
  <c r="AC4"/>
  <c r="AE4"/>
  <c r="AF4"/>
  <c r="AI4"/>
  <c r="AK4"/>
  <c r="C5"/>
  <c r="D5" s="1"/>
  <c r="F5"/>
  <c r="G5"/>
  <c r="K5"/>
  <c r="L5" s="1"/>
  <c r="AC5"/>
  <c r="AE5"/>
  <c r="AF5"/>
  <c r="AK5"/>
  <c r="C6"/>
  <c r="D6"/>
  <c r="F6"/>
  <c r="G6"/>
  <c r="K6"/>
  <c r="L6" s="1"/>
  <c r="M6"/>
  <c r="O6"/>
  <c r="AC6"/>
  <c r="AE6"/>
  <c r="AF6"/>
  <c r="AK6"/>
  <c r="C7"/>
  <c r="D7"/>
  <c r="F7"/>
  <c r="G7"/>
  <c r="I7"/>
  <c r="K7"/>
  <c r="L7" s="1"/>
  <c r="M7"/>
  <c r="O7"/>
  <c r="AC7"/>
  <c r="AE7"/>
  <c r="AF7"/>
  <c r="AK7"/>
  <c r="C8"/>
  <c r="D8"/>
  <c r="F8"/>
  <c r="G8"/>
  <c r="K8"/>
  <c r="L8"/>
  <c r="M8"/>
  <c r="O8"/>
  <c r="AC8"/>
  <c r="AE8"/>
  <c r="AF8"/>
  <c r="AK8"/>
  <c r="C9"/>
  <c r="D9"/>
  <c r="F9"/>
  <c r="G9"/>
  <c r="I9"/>
  <c r="O9" s="1"/>
  <c r="K9"/>
  <c r="L9"/>
  <c r="M9"/>
  <c r="Z9"/>
  <c r="Z8" s="1"/>
  <c r="Z7" s="1"/>
  <c r="Z6" s="1"/>
  <c r="Z5" s="1"/>
  <c r="Z4" s="1"/>
  <c r="AC9"/>
  <c r="AE9"/>
  <c r="AF9"/>
  <c r="AK9"/>
  <c r="C10"/>
  <c r="D10"/>
  <c r="F10"/>
  <c r="G10"/>
  <c r="K10"/>
  <c r="L10" s="1"/>
  <c r="AC10"/>
  <c r="AE10"/>
  <c r="AF10"/>
  <c r="AK10"/>
  <c r="C11"/>
  <c r="D11"/>
  <c r="F11"/>
  <c r="G11"/>
  <c r="K11"/>
  <c r="L11"/>
  <c r="M11"/>
  <c r="O11"/>
  <c r="Z11"/>
  <c r="AC11"/>
  <c r="AE11"/>
  <c r="AF11"/>
  <c r="AK11"/>
  <c r="C12"/>
  <c r="D12"/>
  <c r="F12"/>
  <c r="G12"/>
  <c r="K12"/>
  <c r="L12" s="1"/>
  <c r="M12"/>
  <c r="O12"/>
  <c r="Z12"/>
  <c r="AC12"/>
  <c r="AE12"/>
  <c r="AF12"/>
  <c r="AK12"/>
  <c r="C13"/>
  <c r="D13"/>
  <c r="F13"/>
  <c r="G13"/>
  <c r="K13"/>
  <c r="L13"/>
  <c r="O13"/>
  <c r="Z13"/>
  <c r="Z14" s="1"/>
  <c r="Z15" s="1"/>
  <c r="Z16" s="1"/>
  <c r="Z17" s="1"/>
  <c r="Z18" s="1"/>
  <c r="Z19" s="1"/>
  <c r="AC13"/>
  <c r="AE13"/>
  <c r="AF13"/>
  <c r="AK13"/>
  <c r="C14"/>
  <c r="D14"/>
  <c r="F14"/>
  <c r="G14"/>
  <c r="K14"/>
  <c r="L14"/>
  <c r="M14"/>
  <c r="O14"/>
  <c r="AC14"/>
  <c r="AE14"/>
  <c r="AF14"/>
  <c r="AK14"/>
  <c r="C15"/>
  <c r="D15"/>
  <c r="F15"/>
  <c r="G15"/>
  <c r="K15"/>
  <c r="L15" s="1"/>
  <c r="AC15"/>
  <c r="AE15"/>
  <c r="AF15"/>
  <c r="AK15"/>
  <c r="C16"/>
  <c r="D16"/>
  <c r="F16"/>
  <c r="G16"/>
  <c r="K16"/>
  <c r="L16" s="1"/>
  <c r="M16"/>
  <c r="O16"/>
  <c r="Q16"/>
  <c r="Q15" s="1"/>
  <c r="AC16"/>
  <c r="AE16"/>
  <c r="AF16"/>
  <c r="AK16"/>
  <c r="C17"/>
  <c r="D17"/>
  <c r="F17"/>
  <c r="G17"/>
  <c r="K17"/>
  <c r="L17"/>
  <c r="M17"/>
  <c r="N17"/>
  <c r="O17"/>
  <c r="Q17"/>
  <c r="AC17"/>
  <c r="AE17"/>
  <c r="AF17"/>
  <c r="AK17"/>
  <c r="C18"/>
  <c r="D18"/>
  <c r="F18"/>
  <c r="G18"/>
  <c r="H18"/>
  <c r="K18"/>
  <c r="L18"/>
  <c r="M18"/>
  <c r="N18"/>
  <c r="O18"/>
  <c r="P18"/>
  <c r="R18" s="1"/>
  <c r="AC18"/>
  <c r="AE18"/>
  <c r="AF18"/>
  <c r="AK18"/>
  <c r="C19"/>
  <c r="D19"/>
  <c r="F19"/>
  <c r="G19"/>
  <c r="H19"/>
  <c r="J19"/>
  <c r="O19" s="1"/>
  <c r="K19"/>
  <c r="L19"/>
  <c r="M19"/>
  <c r="N19"/>
  <c r="U19" s="1"/>
  <c r="P19"/>
  <c r="Q19"/>
  <c r="R19"/>
  <c r="V19"/>
  <c r="X19"/>
  <c r="AC19"/>
  <c r="AE19"/>
  <c r="AF19"/>
  <c r="AK19"/>
  <c r="C20"/>
  <c r="D20"/>
  <c r="F20"/>
  <c r="K20"/>
  <c r="L20"/>
  <c r="N20"/>
  <c r="O20"/>
  <c r="AC20"/>
  <c r="AE20"/>
  <c r="AF20"/>
  <c r="AI20"/>
  <c r="AK20"/>
  <c r="AC21"/>
  <c r="AE21"/>
  <c r="AF21"/>
  <c r="AC22"/>
  <c r="AE22"/>
  <c r="AF22"/>
  <c r="AC23"/>
  <c r="AE23"/>
  <c r="AF23"/>
  <c r="AC24"/>
  <c r="AE24"/>
  <c r="AF24"/>
  <c r="AC25"/>
  <c r="AE25"/>
  <c r="AF25"/>
  <c r="AC26"/>
  <c r="AE26"/>
  <c r="AF26"/>
  <c r="AC27"/>
  <c r="AE27"/>
  <c r="AF27"/>
  <c r="AC28"/>
  <c r="AE28"/>
  <c r="AF28"/>
  <c r="AC29"/>
  <c r="AE29"/>
  <c r="AF29"/>
  <c r="AC30"/>
  <c r="AC31"/>
  <c r="AF31"/>
  <c r="AC32"/>
  <c r="AF32"/>
  <c r="AC33"/>
  <c r="AF33"/>
  <c r="AC34"/>
  <c r="AF34"/>
  <c r="AC35"/>
  <c r="AF35"/>
  <c r="AC36"/>
  <c r="AF36"/>
  <c r="AC37"/>
  <c r="AF37"/>
  <c r="AC38"/>
  <c r="AF38"/>
  <c r="AC39"/>
  <c r="AF39"/>
  <c r="AC40"/>
  <c r="AF40"/>
  <c r="AC41"/>
  <c r="AF41"/>
  <c r="AC42"/>
  <c r="AF42"/>
  <c r="AC43"/>
  <c r="AF43"/>
  <c r="AC44"/>
  <c r="AF44"/>
  <c r="AC45"/>
  <c r="AF45"/>
  <c r="AC46"/>
  <c r="AF46"/>
  <c r="AC47"/>
  <c r="AF47"/>
  <c r="AC48"/>
  <c r="AF48"/>
  <c r="AC49"/>
  <c r="AF49"/>
  <c r="AC50"/>
  <c r="AF50"/>
  <c r="AC51"/>
  <c r="AF51"/>
  <c r="AC52"/>
  <c r="AF52"/>
  <c r="AC53"/>
  <c r="AF53"/>
  <c r="AC54"/>
  <c r="AF54"/>
  <c r="AC55"/>
  <c r="AF55"/>
  <c r="AC56"/>
  <c r="AF56"/>
  <c r="AC57"/>
  <c r="AF57"/>
  <c r="AC58"/>
  <c r="AF58"/>
  <c r="AC59"/>
  <c r="AF59"/>
  <c r="AC60"/>
  <c r="AF60"/>
  <c r="AC61"/>
  <c r="AF61"/>
  <c r="I4" i="21"/>
  <c r="K4"/>
  <c r="L4" s="1"/>
  <c r="M4"/>
  <c r="O4"/>
  <c r="AD4"/>
  <c r="AF4"/>
  <c r="AG4"/>
  <c r="AH4"/>
  <c r="AJ4"/>
  <c r="AL4"/>
  <c r="C5"/>
  <c r="D5"/>
  <c r="F5"/>
  <c r="G5"/>
  <c r="H5"/>
  <c r="K5"/>
  <c r="L5" s="1"/>
  <c r="M5"/>
  <c r="O5"/>
  <c r="AD5"/>
  <c r="AF5"/>
  <c r="AG5"/>
  <c r="AH5"/>
  <c r="AL5"/>
  <c r="C6"/>
  <c r="D6"/>
  <c r="F6"/>
  <c r="G6"/>
  <c r="J6"/>
  <c r="K6"/>
  <c r="L6" s="1"/>
  <c r="M6"/>
  <c r="O6"/>
  <c r="AD6"/>
  <c r="AF6"/>
  <c r="AG6"/>
  <c r="AH6"/>
  <c r="AL6"/>
  <c r="C7"/>
  <c r="D7"/>
  <c r="F7"/>
  <c r="G7"/>
  <c r="I7"/>
  <c r="J7"/>
  <c r="K7"/>
  <c r="L7" s="1"/>
  <c r="M7"/>
  <c r="O7"/>
  <c r="AD7"/>
  <c r="AF7"/>
  <c r="AG7"/>
  <c r="AH7"/>
  <c r="AL7"/>
  <c r="C8"/>
  <c r="D8"/>
  <c r="F8"/>
  <c r="G8"/>
  <c r="J8"/>
  <c r="O8" s="1"/>
  <c r="K8"/>
  <c r="L8"/>
  <c r="M8"/>
  <c r="AD8"/>
  <c r="AF8"/>
  <c r="AG8"/>
  <c r="AH8"/>
  <c r="AL8"/>
  <c r="C9"/>
  <c r="D9"/>
  <c r="F9"/>
  <c r="G9"/>
  <c r="I9"/>
  <c r="J9"/>
  <c r="O9" s="1"/>
  <c r="K9"/>
  <c r="L9"/>
  <c r="M9"/>
  <c r="AD9"/>
  <c r="AF9"/>
  <c r="AG9"/>
  <c r="AH9"/>
  <c r="AL9"/>
  <c r="C10"/>
  <c r="D10"/>
  <c r="F10"/>
  <c r="G10"/>
  <c r="J10"/>
  <c r="K10"/>
  <c r="L10" s="1"/>
  <c r="M10"/>
  <c r="O10"/>
  <c r="AD10"/>
  <c r="AF10"/>
  <c r="AG10"/>
  <c r="AH10"/>
  <c r="AL10"/>
  <c r="C11"/>
  <c r="D11"/>
  <c r="F11"/>
  <c r="G11"/>
  <c r="K11"/>
  <c r="L11" s="1"/>
  <c r="M11"/>
  <c r="O11"/>
  <c r="AD11"/>
  <c r="AF11"/>
  <c r="AG11"/>
  <c r="AH11"/>
  <c r="AL11"/>
  <c r="C12"/>
  <c r="D12"/>
  <c r="F12"/>
  <c r="G12"/>
  <c r="K12"/>
  <c r="L12" s="1"/>
  <c r="M12"/>
  <c r="O12"/>
  <c r="AD12"/>
  <c r="AF12"/>
  <c r="AG12"/>
  <c r="AH12"/>
  <c r="AL12"/>
  <c r="C13"/>
  <c r="D13"/>
  <c r="F13"/>
  <c r="G13"/>
  <c r="K13"/>
  <c r="L13" s="1"/>
  <c r="M13"/>
  <c r="O13"/>
  <c r="AD13"/>
  <c r="AF13"/>
  <c r="AG13"/>
  <c r="AH13"/>
  <c r="AL13"/>
  <c r="C14"/>
  <c r="D14"/>
  <c r="F14"/>
  <c r="G14"/>
  <c r="H14"/>
  <c r="M14" s="1"/>
  <c r="O14" s="1"/>
  <c r="K14"/>
  <c r="L14"/>
  <c r="AD14"/>
  <c r="AF14"/>
  <c r="AG14"/>
  <c r="AH14"/>
  <c r="AL14"/>
  <c r="C15"/>
  <c r="D15"/>
  <c r="F15"/>
  <c r="G15"/>
  <c r="H15"/>
  <c r="K15"/>
  <c r="L15" s="1"/>
  <c r="M15"/>
  <c r="O15"/>
  <c r="AD15"/>
  <c r="AF15"/>
  <c r="AG15"/>
  <c r="AH15"/>
  <c r="AL15"/>
  <c r="C16"/>
  <c r="D16"/>
  <c r="F16"/>
  <c r="G16"/>
  <c r="H16"/>
  <c r="M16" s="1"/>
  <c r="O16" s="1"/>
  <c r="K16"/>
  <c r="L16"/>
  <c r="AD16"/>
  <c r="AF16"/>
  <c r="AG16"/>
  <c r="AH16"/>
  <c r="AL16"/>
  <c r="C17"/>
  <c r="D17"/>
  <c r="F17"/>
  <c r="G17"/>
  <c r="H17"/>
  <c r="K17"/>
  <c r="L17" s="1"/>
  <c r="M17"/>
  <c r="O17"/>
  <c r="AD17"/>
  <c r="AF17"/>
  <c r="AG17"/>
  <c r="AH17"/>
  <c r="AL17"/>
  <c r="C18"/>
  <c r="D18"/>
  <c r="F18"/>
  <c r="G18"/>
  <c r="H18"/>
  <c r="M18" s="1"/>
  <c r="O18" s="1"/>
  <c r="P19" s="1"/>
  <c r="K18"/>
  <c r="L18"/>
  <c r="N18"/>
  <c r="W18" s="1"/>
  <c r="P18"/>
  <c r="P17" s="1"/>
  <c r="P16" s="1"/>
  <c r="P15" s="1"/>
  <c r="P14" s="1"/>
  <c r="P13" s="1"/>
  <c r="P12" s="1"/>
  <c r="P11" s="1"/>
  <c r="P10" s="1"/>
  <c r="P9" s="1"/>
  <c r="P8" s="1"/>
  <c r="P7" s="1"/>
  <c r="P6" s="1"/>
  <c r="P5" s="1"/>
  <c r="P4" s="1"/>
  <c r="Q18"/>
  <c r="Q17" s="1"/>
  <c r="R18"/>
  <c r="T18"/>
  <c r="X18"/>
  <c r="Z18"/>
  <c r="AD18"/>
  <c r="AF18"/>
  <c r="AG18"/>
  <c r="AH18"/>
  <c r="AL18"/>
  <c r="AM18"/>
  <c r="C19"/>
  <c r="D19"/>
  <c r="F19"/>
  <c r="G19"/>
  <c r="K19"/>
  <c r="L19"/>
  <c r="N19"/>
  <c r="O19"/>
  <c r="AD19"/>
  <c r="AF19"/>
  <c r="AG19"/>
  <c r="AH19"/>
  <c r="AL19"/>
  <c r="C20"/>
  <c r="D20"/>
  <c r="F20"/>
  <c r="K20"/>
  <c r="L20" s="1"/>
  <c r="N20"/>
  <c r="AD20"/>
  <c r="AF20"/>
  <c r="AG20"/>
  <c r="C21"/>
  <c r="D21"/>
  <c r="F21"/>
  <c r="K21"/>
  <c r="L21"/>
  <c r="N21"/>
  <c r="O21"/>
  <c r="AD21"/>
  <c r="AF21"/>
  <c r="AG21"/>
  <c r="C22"/>
  <c r="D22"/>
  <c r="F22"/>
  <c r="K22"/>
  <c r="L22"/>
  <c r="N22"/>
  <c r="O22"/>
  <c r="AD22"/>
  <c r="AF22"/>
  <c r="AG22"/>
  <c r="C23"/>
  <c r="D23"/>
  <c r="F23"/>
  <c r="K23"/>
  <c r="L23"/>
  <c r="N23"/>
  <c r="O23"/>
  <c r="AD23"/>
  <c r="AF23"/>
  <c r="AG23"/>
  <c r="C24"/>
  <c r="D24"/>
  <c r="F24"/>
  <c r="K24"/>
  <c r="L24"/>
  <c r="N24"/>
  <c r="O24"/>
  <c r="AD24"/>
  <c r="AF24"/>
  <c r="AG24"/>
  <c r="C25"/>
  <c r="D25"/>
  <c r="K25"/>
  <c r="L25" s="1"/>
  <c r="N25"/>
  <c r="AD25"/>
  <c r="AF25"/>
  <c r="AG25"/>
  <c r="C26"/>
  <c r="D26"/>
  <c r="K26"/>
  <c r="L26"/>
  <c r="N26"/>
  <c r="O26"/>
  <c r="AD26"/>
  <c r="AF26"/>
  <c r="AG26"/>
  <c r="C27"/>
  <c r="D27"/>
  <c r="K27"/>
  <c r="L27" s="1"/>
  <c r="N27"/>
  <c r="AD27"/>
  <c r="AF27"/>
  <c r="AG27"/>
  <c r="C28"/>
  <c r="D28"/>
  <c r="K28"/>
  <c r="L28"/>
  <c r="N28"/>
  <c r="O28"/>
  <c r="AD28"/>
  <c r="AF28"/>
  <c r="AG28"/>
  <c r="C29"/>
  <c r="D29"/>
  <c r="K29"/>
  <c r="L29" s="1"/>
  <c r="N29"/>
  <c r="AD29"/>
  <c r="AF29"/>
  <c r="AG29"/>
  <c r="C30"/>
  <c r="D30"/>
  <c r="K30"/>
  <c r="L30"/>
  <c r="N30"/>
  <c r="O30"/>
  <c r="AD30"/>
  <c r="C31"/>
  <c r="D31"/>
  <c r="K31"/>
  <c r="L31" s="1"/>
  <c r="N31"/>
  <c r="AD31"/>
  <c r="AG31"/>
  <c r="C32"/>
  <c r="D32"/>
  <c r="K32"/>
  <c r="L32" s="1"/>
  <c r="N32"/>
  <c r="AD32"/>
  <c r="AG32"/>
  <c r="C33"/>
  <c r="D33"/>
  <c r="K33"/>
  <c r="L33" s="1"/>
  <c r="N33"/>
  <c r="AD33"/>
  <c r="AG33"/>
  <c r="C34"/>
  <c r="D34"/>
  <c r="K34"/>
  <c r="L34" s="1"/>
  <c r="N34"/>
  <c r="AD34"/>
  <c r="AG34"/>
  <c r="C35"/>
  <c r="D35"/>
  <c r="K35"/>
  <c r="L35" s="1"/>
  <c r="N35"/>
  <c r="AD35"/>
  <c r="AG35"/>
  <c r="C36"/>
  <c r="D36"/>
  <c r="K36"/>
  <c r="L36" s="1"/>
  <c r="N36"/>
  <c r="AD36"/>
  <c r="AG36"/>
  <c r="C37"/>
  <c r="D37"/>
  <c r="K37"/>
  <c r="L37" s="1"/>
  <c r="N37"/>
  <c r="AD37"/>
  <c r="AG37"/>
  <c r="C38"/>
  <c r="D38"/>
  <c r="K38"/>
  <c r="L38" s="1"/>
  <c r="N38"/>
  <c r="O38"/>
  <c r="AD38"/>
  <c r="AG38"/>
  <c r="C39"/>
  <c r="D39"/>
  <c r="K39"/>
  <c r="L39" s="1"/>
  <c r="N39"/>
  <c r="O39"/>
  <c r="AD39"/>
  <c r="AG39"/>
  <c r="C40"/>
  <c r="D40"/>
  <c r="K40"/>
  <c r="L40"/>
  <c r="N40"/>
  <c r="O40"/>
  <c r="AD40"/>
  <c r="AG40"/>
  <c r="C41"/>
  <c r="D41"/>
  <c r="K41"/>
  <c r="L41"/>
  <c r="N41"/>
  <c r="O41"/>
  <c r="AD41"/>
  <c r="AG41"/>
  <c r="C42"/>
  <c r="D42"/>
  <c r="K42"/>
  <c r="L42"/>
  <c r="N42"/>
  <c r="O42"/>
  <c r="AD42"/>
  <c r="AG42"/>
  <c r="C43"/>
  <c r="D43"/>
  <c r="K43"/>
  <c r="L43"/>
  <c r="N43"/>
  <c r="O43"/>
  <c r="AD43"/>
  <c r="AG43"/>
  <c r="C44"/>
  <c r="D44"/>
  <c r="K44"/>
  <c r="L44"/>
  <c r="N44"/>
  <c r="O44"/>
  <c r="AD44"/>
  <c r="AG44"/>
  <c r="C45"/>
  <c r="D45"/>
  <c r="K45"/>
  <c r="L45"/>
  <c r="N45"/>
  <c r="O45"/>
  <c r="AD45"/>
  <c r="AG45"/>
  <c r="C46"/>
  <c r="D46"/>
  <c r="K46"/>
  <c r="L46"/>
  <c r="N46"/>
  <c r="O46"/>
  <c r="AD46"/>
  <c r="AG46"/>
  <c r="C47"/>
  <c r="D47"/>
  <c r="K47"/>
  <c r="L47"/>
  <c r="N47"/>
  <c r="O47"/>
  <c r="AD47"/>
  <c r="AG47"/>
  <c r="C48"/>
  <c r="D48"/>
  <c r="K48"/>
  <c r="L48"/>
  <c r="N48"/>
  <c r="O48"/>
  <c r="AD48"/>
  <c r="AG48"/>
  <c r="C49"/>
  <c r="D49"/>
  <c r="K49"/>
  <c r="L49"/>
  <c r="N49"/>
  <c r="O49"/>
  <c r="AD49"/>
  <c r="AG49"/>
  <c r="C50"/>
  <c r="D50"/>
  <c r="K50"/>
  <c r="L50"/>
  <c r="N50"/>
  <c r="O50"/>
  <c r="AD50"/>
  <c r="AG50"/>
  <c r="C51"/>
  <c r="D51"/>
  <c r="K51"/>
  <c r="L51"/>
  <c r="N51"/>
  <c r="O51"/>
  <c r="AD51"/>
  <c r="AG51"/>
  <c r="C52"/>
  <c r="D52"/>
  <c r="K52"/>
  <c r="L52"/>
  <c r="N52"/>
  <c r="O52"/>
  <c r="AD52"/>
  <c r="AG52"/>
  <c r="C53"/>
  <c r="D53"/>
  <c r="K53"/>
  <c r="L53"/>
  <c r="N53"/>
  <c r="O53"/>
  <c r="AD53"/>
  <c r="AG53"/>
  <c r="C54"/>
  <c r="D54"/>
  <c r="K54"/>
  <c r="L54"/>
  <c r="N54"/>
  <c r="O54"/>
  <c r="AD54"/>
  <c r="AG54"/>
  <c r="C55"/>
  <c r="D55"/>
  <c r="K55"/>
  <c r="L55"/>
  <c r="N55"/>
  <c r="O55"/>
  <c r="AD55"/>
  <c r="AG55"/>
  <c r="C56"/>
  <c r="D56"/>
  <c r="N56"/>
  <c r="O56"/>
  <c r="AD56"/>
  <c r="AG56"/>
  <c r="C57"/>
  <c r="D57"/>
  <c r="N57"/>
  <c r="AD57"/>
  <c r="AG57"/>
  <c r="C58"/>
  <c r="D58"/>
  <c r="N58"/>
  <c r="AD58"/>
  <c r="AG58"/>
  <c r="C59"/>
  <c r="D59"/>
  <c r="N59"/>
  <c r="AD59"/>
  <c r="AG59"/>
  <c r="C60"/>
  <c r="D60"/>
  <c r="N60"/>
  <c r="AD60"/>
  <c r="AG60"/>
  <c r="C61"/>
  <c r="D61"/>
  <c r="N61"/>
  <c r="AD61"/>
  <c r="AG61"/>
  <c r="C62"/>
  <c r="D62"/>
  <c r="N62"/>
  <c r="C63"/>
  <c r="D63"/>
  <c r="N63"/>
  <c r="C64"/>
  <c r="D64"/>
  <c r="N64"/>
  <c r="C65"/>
  <c r="D65"/>
  <c r="N65"/>
  <c r="C66"/>
  <c r="D66"/>
  <c r="N66"/>
  <c r="C67"/>
  <c r="D67"/>
  <c r="N67"/>
  <c r="C68"/>
  <c r="D68"/>
  <c r="N68"/>
  <c r="C69"/>
  <c r="D69"/>
  <c r="N69"/>
  <c r="C70"/>
  <c r="D70"/>
  <c r="N70"/>
  <c r="C71"/>
  <c r="D71"/>
  <c r="N71"/>
  <c r="C72"/>
  <c r="D72"/>
  <c r="N72"/>
  <c r="C73"/>
  <c r="D73"/>
  <c r="N73"/>
  <c r="C74"/>
  <c r="D74"/>
  <c r="N74"/>
  <c r="C75"/>
  <c r="D75"/>
  <c r="N75"/>
  <c r="C76"/>
  <c r="D76"/>
  <c r="N76"/>
  <c r="C77"/>
  <c r="D77"/>
  <c r="N77"/>
  <c r="C78"/>
  <c r="D78"/>
  <c r="N78"/>
  <c r="C79"/>
  <c r="D79"/>
  <c r="N79"/>
  <c r="C80"/>
  <c r="D80"/>
  <c r="N80"/>
  <c r="C81"/>
  <c r="D81"/>
  <c r="N81"/>
  <c r="C82"/>
  <c r="D82"/>
  <c r="N82"/>
  <c r="C83"/>
  <c r="D83"/>
  <c r="N83"/>
  <c r="C84"/>
  <c r="D84"/>
  <c r="N84"/>
  <c r="C85"/>
  <c r="D85"/>
  <c r="N85"/>
  <c r="C86"/>
  <c r="D86"/>
  <c r="N86"/>
  <c r="C87"/>
  <c r="D87"/>
  <c r="N87"/>
  <c r="C88"/>
  <c r="D88"/>
  <c r="N88"/>
  <c r="C89"/>
  <c r="D89"/>
  <c r="N89"/>
  <c r="C90"/>
  <c r="D90"/>
  <c r="N90"/>
  <c r="C91"/>
  <c r="D91"/>
  <c r="N91"/>
  <c r="C92"/>
  <c r="D92"/>
  <c r="N92"/>
  <c r="C93"/>
  <c r="D93"/>
  <c r="N93"/>
  <c r="C94"/>
  <c r="D94"/>
  <c r="N94"/>
  <c r="C95"/>
  <c r="D95"/>
  <c r="N95"/>
  <c r="C96"/>
  <c r="D96"/>
  <c r="N96"/>
  <c r="C97"/>
  <c r="D97"/>
  <c r="N97"/>
  <c r="C98"/>
  <c r="D98"/>
  <c r="N98"/>
  <c r="C99"/>
  <c r="D99"/>
  <c r="N99"/>
  <c r="C100"/>
  <c r="D100"/>
  <c r="N100"/>
  <c r="C101"/>
  <c r="D101"/>
  <c r="N101"/>
  <c r="C102"/>
  <c r="D102"/>
  <c r="N102"/>
  <c r="C103"/>
  <c r="D103"/>
  <c r="N103"/>
  <c r="C104"/>
  <c r="D104"/>
  <c r="N104"/>
  <c r="C105"/>
  <c r="D105"/>
  <c r="N105"/>
  <c r="C106"/>
  <c r="D106"/>
  <c r="N106"/>
  <c r="C107"/>
  <c r="D107"/>
  <c r="N107"/>
  <c r="C108"/>
  <c r="D108"/>
  <c r="N108"/>
  <c r="C109"/>
  <c r="D109"/>
  <c r="N109"/>
  <c r="C110"/>
  <c r="D110"/>
  <c r="N110"/>
  <c r="C111"/>
  <c r="D111"/>
  <c r="N111"/>
  <c r="C112"/>
  <c r="D112"/>
  <c r="N112"/>
  <c r="C113"/>
  <c r="D113"/>
  <c r="N113"/>
  <c r="C114"/>
  <c r="D114"/>
  <c r="N114"/>
  <c r="C115"/>
  <c r="D115"/>
  <c r="N115"/>
  <c r="C116"/>
  <c r="D116"/>
  <c r="N116"/>
  <c r="J6" i="20"/>
  <c r="L6"/>
  <c r="J7"/>
  <c r="L7"/>
  <c r="J8"/>
  <c r="L8"/>
  <c r="G9"/>
  <c r="J9"/>
  <c r="L9"/>
  <c r="J10"/>
  <c r="L10"/>
  <c r="J11"/>
  <c r="G12"/>
  <c r="G11" s="1"/>
  <c r="L11" s="1"/>
  <c r="J12"/>
  <c r="L12"/>
  <c r="J13"/>
  <c r="L13"/>
  <c r="G14"/>
  <c r="J14"/>
  <c r="L14"/>
  <c r="J15"/>
  <c r="L15"/>
  <c r="G16"/>
  <c r="J16"/>
  <c r="L16"/>
  <c r="G17"/>
  <c r="J17"/>
  <c r="L17"/>
  <c r="J18"/>
  <c r="L18"/>
  <c r="J19"/>
  <c r="L19"/>
  <c r="J20"/>
  <c r="L20"/>
  <c r="B21"/>
  <c r="J21"/>
  <c r="L21"/>
  <c r="G80" i="19"/>
  <c r="H80"/>
  <c r="I80"/>
  <c r="E110"/>
  <c r="F155"/>
  <c r="F156"/>
  <c r="D157"/>
  <c r="F157"/>
  <c r="B158"/>
  <c r="D158"/>
  <c r="F158"/>
  <c r="B159"/>
  <c r="B160" s="1"/>
  <c r="B161" s="1"/>
  <c r="B162" s="1"/>
  <c r="D159"/>
  <c r="F159"/>
  <c r="D160"/>
  <c r="F160"/>
  <c r="D161"/>
  <c r="F161"/>
  <c r="D162"/>
  <c r="F162"/>
  <c r="N7" i="18"/>
  <c r="R7"/>
  <c r="U7" s="1"/>
  <c r="S7"/>
  <c r="T7"/>
  <c r="V7"/>
  <c r="W7" s="1"/>
  <c r="N8"/>
  <c r="O8"/>
  <c r="P8"/>
  <c r="Q8"/>
  <c r="R8"/>
  <c r="U8" s="1"/>
  <c r="S8"/>
  <c r="T8"/>
  <c r="V8"/>
  <c r="W8" s="1"/>
  <c r="N9"/>
  <c r="O9"/>
  <c r="P9"/>
  <c r="Q9"/>
  <c r="R9"/>
  <c r="U9" s="1"/>
  <c r="S9"/>
  <c r="T9"/>
  <c r="V9"/>
  <c r="W9" s="1"/>
  <c r="N10"/>
  <c r="O10"/>
  <c r="P10"/>
  <c r="Q10"/>
  <c r="R10"/>
  <c r="U10" s="1"/>
  <c r="S10"/>
  <c r="T10"/>
  <c r="V10"/>
  <c r="W10" s="1"/>
  <c r="N11"/>
  <c r="O11"/>
  <c r="P11"/>
  <c r="Q11"/>
  <c r="R11"/>
  <c r="U11" s="1"/>
  <c r="S11"/>
  <c r="T11"/>
  <c r="V11"/>
  <c r="W11" s="1"/>
  <c r="Y11"/>
  <c r="N12"/>
  <c r="O12"/>
  <c r="R12" s="1"/>
  <c r="U12" s="1"/>
  <c r="P12"/>
  <c r="Q12"/>
  <c r="S12"/>
  <c r="T12"/>
  <c r="Y12"/>
  <c r="N13"/>
  <c r="O13"/>
  <c r="P13"/>
  <c r="Q13"/>
  <c r="R13"/>
  <c r="U13" s="1"/>
  <c r="S13"/>
  <c r="T13"/>
  <c r="V13"/>
  <c r="W13" s="1"/>
  <c r="Y13"/>
  <c r="N14"/>
  <c r="O14"/>
  <c r="R14" s="1"/>
  <c r="U14" s="1"/>
  <c r="P14"/>
  <c r="Q14"/>
  <c r="S14"/>
  <c r="T14"/>
  <c r="Y14"/>
  <c r="N15"/>
  <c r="O15"/>
  <c r="P15"/>
  <c r="Q15"/>
  <c r="R15"/>
  <c r="U15" s="1"/>
  <c r="S15"/>
  <c r="T15"/>
  <c r="V15"/>
  <c r="W15" s="1"/>
  <c r="Y15"/>
  <c r="N16"/>
  <c r="O16"/>
  <c r="R16" s="1"/>
  <c r="U16" s="1"/>
  <c r="P16"/>
  <c r="Q16"/>
  <c r="S16"/>
  <c r="T16"/>
  <c r="Y16"/>
  <c r="N17"/>
  <c r="O17"/>
  <c r="P17"/>
  <c r="Q17"/>
  <c r="R17"/>
  <c r="U17" s="1"/>
  <c r="S17"/>
  <c r="T17"/>
  <c r="V17"/>
  <c r="W17" s="1"/>
  <c r="Y17"/>
  <c r="N18"/>
  <c r="O18"/>
  <c r="R18" s="1"/>
  <c r="U18" s="1"/>
  <c r="P18"/>
  <c r="Q18"/>
  <c r="S18"/>
  <c r="T18"/>
  <c r="Y18"/>
  <c r="N19"/>
  <c r="O19"/>
  <c r="P19"/>
  <c r="Q19"/>
  <c r="R19"/>
  <c r="U19" s="1"/>
  <c r="S19"/>
  <c r="T19"/>
  <c r="V19"/>
  <c r="W19" s="1"/>
  <c r="Y19"/>
  <c r="N20"/>
  <c r="O20"/>
  <c r="R20" s="1"/>
  <c r="U20" s="1"/>
  <c r="P20"/>
  <c r="Q20"/>
  <c r="S20"/>
  <c r="T20"/>
  <c r="Y20"/>
  <c r="N21"/>
  <c r="O21"/>
  <c r="P21"/>
  <c r="Q21"/>
  <c r="R21"/>
  <c r="U21" s="1"/>
  <c r="S21"/>
  <c r="T21"/>
  <c r="V21"/>
  <c r="W21" s="1"/>
  <c r="Y21"/>
  <c r="N22"/>
  <c r="O22"/>
  <c r="R22" s="1"/>
  <c r="U22" s="1"/>
  <c r="P22"/>
  <c r="Q22"/>
  <c r="S22"/>
  <c r="T22"/>
  <c r="Y22"/>
  <c r="N23"/>
  <c r="O23"/>
  <c r="P23"/>
  <c r="Q23"/>
  <c r="R23"/>
  <c r="U23" s="1"/>
  <c r="S23"/>
  <c r="T23"/>
  <c r="V23"/>
  <c r="W23" s="1"/>
  <c r="Y23"/>
  <c r="N24"/>
  <c r="O24"/>
  <c r="R24" s="1"/>
  <c r="U24" s="1"/>
  <c r="P24"/>
  <c r="Q24"/>
  <c r="S24"/>
  <c r="T24"/>
  <c r="V24"/>
  <c r="W24"/>
  <c r="Y24"/>
  <c r="N25"/>
  <c r="O25"/>
  <c r="P25"/>
  <c r="Q25"/>
  <c r="R25"/>
  <c r="U25" s="1"/>
  <c r="S25"/>
  <c r="T25"/>
  <c r="V25"/>
  <c r="W25" s="1"/>
  <c r="Y25"/>
  <c r="N26"/>
  <c r="O26"/>
  <c r="R26" s="1"/>
  <c r="U26" s="1"/>
  <c r="P26"/>
  <c r="Q26"/>
  <c r="S26"/>
  <c r="T26"/>
  <c r="V26"/>
  <c r="W26"/>
  <c r="Y26"/>
  <c r="N27"/>
  <c r="O27"/>
  <c r="P27"/>
  <c r="Q27"/>
  <c r="R27"/>
  <c r="U27" s="1"/>
  <c r="S27"/>
  <c r="T27"/>
  <c r="V27"/>
  <c r="W27" s="1"/>
  <c r="Y27"/>
  <c r="N28"/>
  <c r="O28"/>
  <c r="R28" s="1"/>
  <c r="U28" s="1"/>
  <c r="P28"/>
  <c r="Q28"/>
  <c r="S28"/>
  <c r="T28"/>
  <c r="V28"/>
  <c r="W28"/>
  <c r="Y28"/>
  <c r="I245"/>
  <c r="K245"/>
  <c r="L245"/>
  <c r="D246"/>
  <c r="F246"/>
  <c r="G246"/>
  <c r="H246"/>
  <c r="I246"/>
  <c r="K246"/>
  <c r="L246"/>
  <c r="D247"/>
  <c r="F247"/>
  <c r="G247" s="1"/>
  <c r="H247"/>
  <c r="I247"/>
  <c r="K247"/>
  <c r="L247"/>
  <c r="D248"/>
  <c r="F248"/>
  <c r="G248"/>
  <c r="H248"/>
  <c r="I248"/>
  <c r="K248"/>
  <c r="L248"/>
  <c r="D249"/>
  <c r="F249"/>
  <c r="G249" s="1"/>
  <c r="H249"/>
  <c r="I249"/>
  <c r="K249"/>
  <c r="L249"/>
  <c r="A1224" i="17"/>
  <c r="B4" i="16"/>
  <c r="C5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F22"/>
  <c r="F23"/>
  <c r="H23"/>
  <c r="H24" s="1"/>
  <c r="H25" s="1"/>
  <c r="H26" s="1"/>
  <c r="H27" s="1"/>
  <c r="H28" s="1"/>
  <c r="H29" s="1"/>
  <c r="E24"/>
  <c r="E23" s="1"/>
  <c r="E22" s="1"/>
  <c r="E21" s="1"/>
  <c r="E20" s="1"/>
  <c r="E19" s="1"/>
  <c r="E18" s="1"/>
  <c r="E17" s="1"/>
  <c r="E16" s="1"/>
  <c r="E15" s="1"/>
  <c r="F24"/>
  <c r="G24"/>
  <c r="G23" s="1"/>
  <c r="G22" s="1"/>
  <c r="G21" s="1"/>
  <c r="G20" s="1"/>
  <c r="G19" s="1"/>
  <c r="G18" s="1"/>
  <c r="G17" s="1"/>
  <c r="E25"/>
  <c r="F25"/>
  <c r="G25"/>
  <c r="I25"/>
  <c r="J25"/>
  <c r="J26" s="1"/>
  <c r="J27" s="1"/>
  <c r="J28" s="1"/>
  <c r="J29" s="1"/>
  <c r="F26"/>
  <c r="I26"/>
  <c r="I27" s="1"/>
  <c r="E27"/>
  <c r="F27"/>
  <c r="G27"/>
  <c r="E28"/>
  <c r="F28"/>
  <c r="G28"/>
  <c r="E29"/>
  <c r="F29"/>
  <c r="G29"/>
  <c r="H9" i="15"/>
  <c r="H10"/>
  <c r="D11"/>
  <c r="F12" s="1"/>
  <c r="H11"/>
  <c r="D12"/>
  <c r="D13"/>
  <c r="D14"/>
  <c r="D15"/>
  <c r="D16"/>
  <c r="D17"/>
  <c r="D18"/>
  <c r="D19"/>
  <c r="D20"/>
  <c r="D21"/>
  <c r="B22"/>
  <c r="D22"/>
  <c r="B23"/>
  <c r="D23"/>
  <c r="K23"/>
  <c r="D4" i="14"/>
  <c r="I4"/>
  <c r="D5"/>
  <c r="I5"/>
  <c r="D6"/>
  <c r="I6"/>
  <c r="D7"/>
  <c r="D8"/>
  <c r="D9"/>
  <c r="I9"/>
  <c r="B10"/>
  <c r="K10" s="1"/>
  <c r="L10" s="1"/>
  <c r="M10" s="1"/>
  <c r="N10" s="1"/>
  <c r="O10" s="1"/>
  <c r="C10"/>
  <c r="C9" s="1"/>
  <c r="C8" s="1"/>
  <c r="C7" s="1"/>
  <c r="C6" s="1"/>
  <c r="C5" s="1"/>
  <c r="C4" s="1"/>
  <c r="D10"/>
  <c r="I10"/>
  <c r="J10"/>
  <c r="I241"/>
  <c r="K241"/>
  <c r="L241"/>
  <c r="D242"/>
  <c r="D243" s="1"/>
  <c r="F242"/>
  <c r="G242"/>
  <c r="H242"/>
  <c r="I242"/>
  <c r="K242"/>
  <c r="L242"/>
  <c r="F243"/>
  <c r="G243" s="1"/>
  <c r="H243"/>
  <c r="K243"/>
  <c r="K244"/>
  <c r="K245"/>
  <c r="K246"/>
  <c r="K247"/>
  <c r="K248"/>
  <c r="K249"/>
  <c r="D291"/>
  <c r="F291"/>
  <c r="G291"/>
  <c r="H291"/>
  <c r="I291"/>
  <c r="K291"/>
  <c r="L291"/>
  <c r="D292"/>
  <c r="F292"/>
  <c r="G292" s="1"/>
  <c r="H292"/>
  <c r="I292"/>
  <c r="K292"/>
  <c r="L292"/>
  <c r="D293"/>
  <c r="AB2" i="13"/>
  <c r="AD2"/>
  <c r="AE2"/>
  <c r="AG2"/>
  <c r="AI2"/>
  <c r="AJ2"/>
  <c r="H9"/>
  <c r="F9" s="1"/>
  <c r="H10"/>
  <c r="F10" s="1"/>
  <c r="I10"/>
  <c r="H11"/>
  <c r="I11"/>
  <c r="F11" s="1"/>
  <c r="H12"/>
  <c r="F12" s="1"/>
  <c r="I12"/>
  <c r="K12"/>
  <c r="O12"/>
  <c r="H13"/>
  <c r="I13"/>
  <c r="F13" s="1"/>
  <c r="K13"/>
  <c r="L13"/>
  <c r="O13"/>
  <c r="Q13"/>
  <c r="H14"/>
  <c r="F14" s="1"/>
  <c r="I14"/>
  <c r="K14"/>
  <c r="L14"/>
  <c r="M14"/>
  <c r="O14"/>
  <c r="Q14"/>
  <c r="R14"/>
  <c r="H15"/>
  <c r="I15"/>
  <c r="F15" s="1"/>
  <c r="K15"/>
  <c r="L15"/>
  <c r="M15"/>
  <c r="O15"/>
  <c r="Q15"/>
  <c r="R15"/>
  <c r="S15"/>
  <c r="H16"/>
  <c r="I16"/>
  <c r="F16" s="1"/>
  <c r="K16"/>
  <c r="L16"/>
  <c r="M16"/>
  <c r="O16"/>
  <c r="Q16"/>
  <c r="R16"/>
  <c r="S16"/>
  <c r="H17"/>
  <c r="I17"/>
  <c r="F17" s="1"/>
  <c r="K17"/>
  <c r="L17"/>
  <c r="M17"/>
  <c r="O17"/>
  <c r="Q17"/>
  <c r="R17"/>
  <c r="S17"/>
  <c r="U17"/>
  <c r="H18"/>
  <c r="F18" s="1"/>
  <c r="I18"/>
  <c r="K18"/>
  <c r="L18"/>
  <c r="M18"/>
  <c r="O18"/>
  <c r="Q18"/>
  <c r="R18"/>
  <c r="S18"/>
  <c r="U18"/>
  <c r="V18"/>
  <c r="H19"/>
  <c r="F19" s="1"/>
  <c r="I19"/>
  <c r="K19"/>
  <c r="L19"/>
  <c r="M19"/>
  <c r="O19"/>
  <c r="Q19"/>
  <c r="R19"/>
  <c r="S19"/>
  <c r="U19"/>
  <c r="V19"/>
  <c r="H20"/>
  <c r="F20" s="1"/>
  <c r="I20"/>
  <c r="K20"/>
  <c r="L20"/>
  <c r="M20"/>
  <c r="O20"/>
  <c r="Q20"/>
  <c r="R20"/>
  <c r="S20"/>
  <c r="U20"/>
  <c r="V20"/>
  <c r="X20"/>
  <c r="H21"/>
  <c r="F21" s="1"/>
  <c r="I21"/>
  <c r="K21"/>
  <c r="L21"/>
  <c r="M21"/>
  <c r="O21"/>
  <c r="Q21"/>
  <c r="R21"/>
  <c r="S21"/>
  <c r="U21"/>
  <c r="V21"/>
  <c r="X21"/>
  <c r="H22"/>
  <c r="F22" s="1"/>
  <c r="I22"/>
  <c r="K22"/>
  <c r="L22"/>
  <c r="M22"/>
  <c r="O22"/>
  <c r="Q22"/>
  <c r="R22"/>
  <c r="S22"/>
  <c r="U22"/>
  <c r="V22"/>
  <c r="X22"/>
  <c r="I23"/>
  <c r="K23"/>
  <c r="F23" s="1"/>
  <c r="L23"/>
  <c r="M23"/>
  <c r="O23"/>
  <c r="Q23"/>
  <c r="R23"/>
  <c r="S23"/>
  <c r="U23"/>
  <c r="V23"/>
  <c r="X23"/>
  <c r="K24"/>
  <c r="L24"/>
  <c r="F24" s="1"/>
  <c r="M24"/>
  <c r="O24"/>
  <c r="Q24"/>
  <c r="R24"/>
  <c r="S24"/>
  <c r="U24"/>
  <c r="V24"/>
  <c r="X24"/>
  <c r="AB24"/>
  <c r="K25"/>
  <c r="L25"/>
  <c r="F25" s="1"/>
  <c r="M25"/>
  <c r="O25"/>
  <c r="Q25"/>
  <c r="R25"/>
  <c r="S25"/>
  <c r="U25"/>
  <c r="V25"/>
  <c r="X25"/>
  <c r="AB25"/>
  <c r="L26"/>
  <c r="M26"/>
  <c r="F26" s="1"/>
  <c r="Q26"/>
  <c r="R26"/>
  <c r="S26"/>
  <c r="U26"/>
  <c r="V26"/>
  <c r="X26"/>
  <c r="AB26"/>
  <c r="AD26"/>
  <c r="M27"/>
  <c r="F27" s="1"/>
  <c r="R27"/>
  <c r="S27"/>
  <c r="U27"/>
  <c r="V27"/>
  <c r="X27"/>
  <c r="AB27"/>
  <c r="AD27"/>
  <c r="AE27"/>
  <c r="S28"/>
  <c r="F28" s="1"/>
  <c r="U28"/>
  <c r="V28"/>
  <c r="X28"/>
  <c r="AB28"/>
  <c r="AD28"/>
  <c r="AE28"/>
  <c r="AF28"/>
  <c r="U29"/>
  <c r="V29"/>
  <c r="F29" s="1"/>
  <c r="X29"/>
  <c r="AB29"/>
  <c r="AD29"/>
  <c r="AE29"/>
  <c r="AF29"/>
  <c r="AG29"/>
  <c r="U30"/>
  <c r="F30" s="1"/>
  <c r="V30"/>
  <c r="X30"/>
  <c r="AB30"/>
  <c r="AD30"/>
  <c r="AE30"/>
  <c r="AF30"/>
  <c r="AG30"/>
  <c r="AH30"/>
  <c r="V31"/>
  <c r="F31" s="1"/>
  <c r="X31"/>
  <c r="AB31"/>
  <c r="AD31"/>
  <c r="AE31"/>
  <c r="AF31"/>
  <c r="AG31"/>
  <c r="AH31"/>
  <c r="AI31"/>
  <c r="V32"/>
  <c r="F32" s="1"/>
  <c r="X32"/>
  <c r="AB32"/>
  <c r="AD32"/>
  <c r="AE32"/>
  <c r="AF32"/>
  <c r="AG32"/>
  <c r="AH32"/>
  <c r="AI32"/>
  <c r="AJ32"/>
  <c r="X33"/>
  <c r="AB33"/>
  <c r="F33" s="1"/>
  <c r="AD33"/>
  <c r="AE33"/>
  <c r="AF33"/>
  <c r="AG33"/>
  <c r="AH33"/>
  <c r="AI33"/>
  <c r="AJ33"/>
  <c r="AK33"/>
  <c r="X34"/>
  <c r="F34" s="1"/>
  <c r="AB34"/>
  <c r="AD34"/>
  <c r="AE34"/>
  <c r="AF34"/>
  <c r="AG34"/>
  <c r="AH34"/>
  <c r="AI34"/>
  <c r="AJ34"/>
  <c r="AK34"/>
  <c r="AL34"/>
  <c r="AB35"/>
  <c r="F35" s="1"/>
  <c r="AD35"/>
  <c r="AE35"/>
  <c r="AF35"/>
  <c r="AG35"/>
  <c r="AH35"/>
  <c r="AI35"/>
  <c r="AJ35"/>
  <c r="AK35"/>
  <c r="AL35"/>
  <c r="AM35"/>
  <c r="AB36"/>
  <c r="F36" s="1"/>
  <c r="AD36"/>
  <c r="AE36"/>
  <c r="AF36"/>
  <c r="AG36"/>
  <c r="AH36"/>
  <c r="AI36"/>
  <c r="AJ36"/>
  <c r="AK36"/>
  <c r="AL36"/>
  <c r="AM36"/>
  <c r="AN36"/>
  <c r="AB37"/>
  <c r="F37" s="1"/>
  <c r="AD37"/>
  <c r="AE37"/>
  <c r="AF37"/>
  <c r="AG37"/>
  <c r="AH37"/>
  <c r="AI37"/>
  <c r="AJ37"/>
  <c r="AK37"/>
  <c r="AL37"/>
  <c r="AM37"/>
  <c r="AN37"/>
  <c r="AB38"/>
  <c r="AD38"/>
  <c r="F38" s="1"/>
  <c r="AE38"/>
  <c r="AF38"/>
  <c r="AG38"/>
  <c r="AH38"/>
  <c r="AI38"/>
  <c r="AJ38"/>
  <c r="AK38"/>
  <c r="AL38"/>
  <c r="AM38"/>
  <c r="AN38"/>
  <c r="AD39"/>
  <c r="F39" s="1"/>
  <c r="AE39"/>
  <c r="AF39"/>
  <c r="AG39"/>
  <c r="AH39"/>
  <c r="AI39"/>
  <c r="AJ39"/>
  <c r="AK39"/>
  <c r="AL39"/>
  <c r="AM39"/>
  <c r="AN39"/>
  <c r="AD40"/>
  <c r="F40" s="1"/>
  <c r="AE40"/>
  <c r="AF40"/>
  <c r="AG40"/>
  <c r="AH40"/>
  <c r="AI40"/>
  <c r="AJ40"/>
  <c r="AK40"/>
  <c r="AL40"/>
  <c r="AM40"/>
  <c r="AN40"/>
  <c r="AE41"/>
  <c r="F41" s="1"/>
  <c r="AF41"/>
  <c r="AG41"/>
  <c r="AH41"/>
  <c r="AI41"/>
  <c r="AJ41"/>
  <c r="AK41"/>
  <c r="AL41"/>
  <c r="AM41"/>
  <c r="AN41"/>
  <c r="AF42"/>
  <c r="F42" s="1"/>
  <c r="AG42"/>
  <c r="AH42"/>
  <c r="AI42"/>
  <c r="AJ42"/>
  <c r="AK42"/>
  <c r="AL42"/>
  <c r="AM42"/>
  <c r="AN42"/>
  <c r="AG43"/>
  <c r="AH43"/>
  <c r="F43" s="1"/>
  <c r="AI43"/>
  <c r="AJ43"/>
  <c r="AK43"/>
  <c r="AL43"/>
  <c r="AM43"/>
  <c r="AN43"/>
  <c r="AH44"/>
  <c r="F44" s="1"/>
  <c r="AI44"/>
  <c r="AJ44"/>
  <c r="AK44"/>
  <c r="AL44"/>
  <c r="AM44"/>
  <c r="AN44"/>
  <c r="AI45"/>
  <c r="AJ45"/>
  <c r="F45" s="1"/>
  <c r="AK45"/>
  <c r="AL45"/>
  <c r="AM45"/>
  <c r="AN45"/>
  <c r="AJ46"/>
  <c r="F46" s="1"/>
  <c r="AK46"/>
  <c r="AL46"/>
  <c r="AM46"/>
  <c r="AN46"/>
  <c r="AK47"/>
  <c r="F47" s="1"/>
  <c r="AL47"/>
  <c r="AM47"/>
  <c r="AN47"/>
  <c r="AL48"/>
  <c r="AM48"/>
  <c r="F48" s="1"/>
  <c r="AN48"/>
  <c r="AM49"/>
  <c r="AN49"/>
  <c r="F49" s="1"/>
  <c r="AN50"/>
  <c r="F50" s="1"/>
  <c r="F51"/>
  <c r="A61"/>
  <c r="B61" s="1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H68"/>
  <c r="F68" s="1"/>
  <c r="I69"/>
  <c r="O70"/>
  <c r="K71"/>
  <c r="L72"/>
  <c r="M73"/>
  <c r="R73"/>
  <c r="S74"/>
  <c r="U76"/>
  <c r="V77"/>
  <c r="V78"/>
  <c r="V79"/>
  <c r="X79"/>
  <c r="V80"/>
  <c r="X80"/>
  <c r="V81"/>
  <c r="X81"/>
  <c r="V82"/>
  <c r="X82"/>
  <c r="I83"/>
  <c r="V83"/>
  <c r="X83"/>
  <c r="AB83"/>
  <c r="O84"/>
  <c r="V84"/>
  <c r="X84"/>
  <c r="AB84"/>
  <c r="K85"/>
  <c r="V85"/>
  <c r="X85"/>
  <c r="AB85"/>
  <c r="AD85"/>
  <c r="L86"/>
  <c r="V86"/>
  <c r="X86"/>
  <c r="AB86"/>
  <c r="AD86"/>
  <c r="AE86"/>
  <c r="M87"/>
  <c r="R87"/>
  <c r="V87"/>
  <c r="X87"/>
  <c r="AB87"/>
  <c r="AD87"/>
  <c r="AE87"/>
  <c r="AF87"/>
  <c r="S88"/>
  <c r="V88"/>
  <c r="X88"/>
  <c r="AB88"/>
  <c r="AD88"/>
  <c r="AE88"/>
  <c r="AF88"/>
  <c r="AG88"/>
  <c r="V89"/>
  <c r="X89"/>
  <c r="AB89"/>
  <c r="AD89"/>
  <c r="AE89"/>
  <c r="AF89"/>
  <c r="AG89"/>
  <c r="AH89"/>
  <c r="U90"/>
  <c r="F90" s="1"/>
  <c r="V90"/>
  <c r="X90"/>
  <c r="AB90"/>
  <c r="AD90"/>
  <c r="AE90"/>
  <c r="AF90"/>
  <c r="AG90"/>
  <c r="AH90"/>
  <c r="AI90"/>
  <c r="V91"/>
  <c r="G91" s="1"/>
  <c r="X91"/>
  <c r="AB91"/>
  <c r="AD91"/>
  <c r="AE91"/>
  <c r="AF91"/>
  <c r="AG91"/>
  <c r="AH91"/>
  <c r="AI91"/>
  <c r="AJ91"/>
  <c r="X92"/>
  <c r="F92" s="1"/>
  <c r="AB92"/>
  <c r="AD92"/>
  <c r="AE92"/>
  <c r="AF92"/>
  <c r="AG92"/>
  <c r="AH92"/>
  <c r="AI92"/>
  <c r="AJ92"/>
  <c r="AK92"/>
  <c r="X93"/>
  <c r="F93" s="1"/>
  <c r="AB93"/>
  <c r="G93" s="1"/>
  <c r="AD93"/>
  <c r="AE93"/>
  <c r="AF93"/>
  <c r="AG93"/>
  <c r="AH93"/>
  <c r="AI93"/>
  <c r="AJ93"/>
  <c r="AK93"/>
  <c r="AL93"/>
  <c r="AB94"/>
  <c r="G94" s="1"/>
  <c r="AD94"/>
  <c r="AE94"/>
  <c r="AF94"/>
  <c r="AG94"/>
  <c r="AH94"/>
  <c r="AI94"/>
  <c r="AJ94"/>
  <c r="AK94"/>
  <c r="AL94"/>
  <c r="AM94"/>
  <c r="AB95"/>
  <c r="F95" s="1"/>
  <c r="AD95"/>
  <c r="G95" s="1"/>
  <c r="AE95"/>
  <c r="AF95"/>
  <c r="AG95"/>
  <c r="AH95"/>
  <c r="AI95"/>
  <c r="AJ95"/>
  <c r="AK95"/>
  <c r="AL95"/>
  <c r="AM95"/>
  <c r="AN95"/>
  <c r="AB96"/>
  <c r="F96" s="1"/>
  <c r="AD96"/>
  <c r="AE96"/>
  <c r="AF96"/>
  <c r="AG96"/>
  <c r="AH96"/>
  <c r="AI96"/>
  <c r="AJ96"/>
  <c r="AK96"/>
  <c r="AL96"/>
  <c r="AM96"/>
  <c r="AN96"/>
  <c r="AB97"/>
  <c r="G97" s="1"/>
  <c r="AD97"/>
  <c r="AE97"/>
  <c r="AF97"/>
  <c r="AG97"/>
  <c r="AH97"/>
  <c r="AI97"/>
  <c r="AJ97"/>
  <c r="AK97"/>
  <c r="AL97"/>
  <c r="AM97"/>
  <c r="AN97"/>
  <c r="AD98"/>
  <c r="F98" s="1"/>
  <c r="AE98"/>
  <c r="AF98"/>
  <c r="AG98"/>
  <c r="AH98"/>
  <c r="AI98"/>
  <c r="AJ98"/>
  <c r="AK98"/>
  <c r="AL98"/>
  <c r="AM98"/>
  <c r="AN98"/>
  <c r="AD99"/>
  <c r="F99" s="1"/>
  <c r="AE99"/>
  <c r="AF99"/>
  <c r="AG99"/>
  <c r="AH99"/>
  <c r="AI99"/>
  <c r="AJ99"/>
  <c r="AK99"/>
  <c r="AL99"/>
  <c r="AM99"/>
  <c r="AN99"/>
  <c r="AE100"/>
  <c r="F100" s="1"/>
  <c r="AF100"/>
  <c r="AG100"/>
  <c r="AH100"/>
  <c r="AI100"/>
  <c r="AJ100"/>
  <c r="AK100"/>
  <c r="AL100"/>
  <c r="AM100"/>
  <c r="AN100"/>
  <c r="AF101"/>
  <c r="G101" s="1"/>
  <c r="AG101"/>
  <c r="AH101"/>
  <c r="AI101"/>
  <c r="AJ101"/>
  <c r="AK101"/>
  <c r="AL101"/>
  <c r="AM101"/>
  <c r="AN101"/>
  <c r="AG102"/>
  <c r="G102" s="1"/>
  <c r="AH102"/>
  <c r="AI102"/>
  <c r="AJ102"/>
  <c r="AK102"/>
  <c r="AL102"/>
  <c r="AM102"/>
  <c r="AN102"/>
  <c r="AH103"/>
  <c r="F103" s="1"/>
  <c r="AI103"/>
  <c r="G103" s="1"/>
  <c r="AJ103"/>
  <c r="AK103"/>
  <c r="AL103"/>
  <c r="AM103"/>
  <c r="AN103"/>
  <c r="AI104"/>
  <c r="F104" s="1"/>
  <c r="AJ104"/>
  <c r="AK104"/>
  <c r="AL104"/>
  <c r="AM104"/>
  <c r="AN104"/>
  <c r="AJ105"/>
  <c r="G105" s="1"/>
  <c r="AK105"/>
  <c r="AL105"/>
  <c r="AM105"/>
  <c r="AN105"/>
  <c r="AK106"/>
  <c r="G106" s="1"/>
  <c r="AL106"/>
  <c r="AM106"/>
  <c r="AN106"/>
  <c r="AL107"/>
  <c r="F107" s="1"/>
  <c r="AM107"/>
  <c r="G107" s="1"/>
  <c r="AN107"/>
  <c r="AM108"/>
  <c r="F108" s="1"/>
  <c r="AN108"/>
  <c r="G108" s="1"/>
  <c r="AN109"/>
  <c r="G109" s="1"/>
  <c r="J3" i="11"/>
  <c r="D4"/>
  <c r="E4"/>
  <c r="J4"/>
  <c r="D5"/>
  <c r="E5"/>
  <c r="D6"/>
  <c r="E6"/>
  <c r="D7"/>
  <c r="E7"/>
  <c r="D8"/>
  <c r="E8"/>
  <c r="O8"/>
  <c r="P8" s="1"/>
  <c r="T8"/>
  <c r="D9"/>
  <c r="E9"/>
  <c r="O9"/>
  <c r="P9"/>
  <c r="S9" s="1"/>
  <c r="W9" s="1"/>
  <c r="T9"/>
  <c r="D10"/>
  <c r="E10"/>
  <c r="O10"/>
  <c r="P10"/>
  <c r="S10" s="1"/>
  <c r="W10" s="1"/>
  <c r="T10"/>
  <c r="V10" s="1"/>
  <c r="D11"/>
  <c r="E11"/>
  <c r="P11"/>
  <c r="S11"/>
  <c r="V11" s="1"/>
  <c r="W11"/>
  <c r="X11"/>
  <c r="D12"/>
  <c r="E12"/>
  <c r="P12"/>
  <c r="S12"/>
  <c r="V12" s="1"/>
  <c r="W12"/>
  <c r="X12"/>
  <c r="D13"/>
  <c r="E13"/>
  <c r="P13"/>
  <c r="S13"/>
  <c r="V13" s="1"/>
  <c r="W13"/>
  <c r="X13"/>
  <c r="D14"/>
  <c r="E14"/>
  <c r="P14"/>
  <c r="S14"/>
  <c r="V14" s="1"/>
  <c r="W14"/>
  <c r="X14"/>
  <c r="D15"/>
  <c r="E15"/>
  <c r="P15"/>
  <c r="S15"/>
  <c r="V15" s="1"/>
  <c r="W15"/>
  <c r="X15"/>
  <c r="D16"/>
  <c r="E16"/>
  <c r="P16"/>
  <c r="S16"/>
  <c r="V16" s="1"/>
  <c r="W16"/>
  <c r="X16"/>
  <c r="D17"/>
  <c r="E17"/>
  <c r="P17"/>
  <c r="S17"/>
  <c r="V17"/>
  <c r="W17"/>
  <c r="X17"/>
  <c r="D18"/>
  <c r="E18"/>
  <c r="P18"/>
  <c r="S18"/>
  <c r="V18"/>
  <c r="W18"/>
  <c r="X18"/>
  <c r="D19"/>
  <c r="E19"/>
  <c r="P19"/>
  <c r="S19" s="1"/>
  <c r="X19"/>
  <c r="D20"/>
  <c r="E20"/>
  <c r="J19" s="1"/>
  <c r="K19" s="1"/>
  <c r="P20"/>
  <c r="S20" s="1"/>
  <c r="X20"/>
  <c r="D21"/>
  <c r="E21"/>
  <c r="P21"/>
  <c r="S21" s="1"/>
  <c r="X21"/>
  <c r="D22"/>
  <c r="E22"/>
  <c r="P22"/>
  <c r="S22"/>
  <c r="V22"/>
  <c r="W22"/>
  <c r="X22"/>
  <c r="D23"/>
  <c r="E23"/>
  <c r="P23"/>
  <c r="S23"/>
  <c r="V23"/>
  <c r="W23"/>
  <c r="X23"/>
  <c r="D24"/>
  <c r="E24"/>
  <c r="P24"/>
  <c r="S24"/>
  <c r="V24" s="1"/>
  <c r="W24"/>
  <c r="X24"/>
  <c r="D25"/>
  <c r="E25"/>
  <c r="P25"/>
  <c r="S25"/>
  <c r="V25" s="1"/>
  <c r="W25"/>
  <c r="X25"/>
  <c r="D26"/>
  <c r="E26"/>
  <c r="P26"/>
  <c r="S26"/>
  <c r="V26" s="1"/>
  <c r="W26"/>
  <c r="X26"/>
  <c r="D27"/>
  <c r="E27"/>
  <c r="P27"/>
  <c r="S27"/>
  <c r="V27"/>
  <c r="W27"/>
  <c r="X27"/>
  <c r="D28"/>
  <c r="E28"/>
  <c r="P28"/>
  <c r="S28"/>
  <c r="V28"/>
  <c r="W28"/>
  <c r="X28"/>
  <c r="D29"/>
  <c r="E29"/>
  <c r="P29"/>
  <c r="S29" s="1"/>
  <c r="X29"/>
  <c r="D30"/>
  <c r="E30"/>
  <c r="P30"/>
  <c r="S30"/>
  <c r="V30"/>
  <c r="W30"/>
  <c r="X30"/>
  <c r="D31"/>
  <c r="E31"/>
  <c r="P31"/>
  <c r="S31" s="1"/>
  <c r="X31"/>
  <c r="D32"/>
  <c r="E32"/>
  <c r="P32"/>
  <c r="S32"/>
  <c r="V32"/>
  <c r="W32"/>
  <c r="X32"/>
  <c r="D33"/>
  <c r="E33"/>
  <c r="P33"/>
  <c r="S33"/>
  <c r="V33" s="1"/>
  <c r="W33"/>
  <c r="X33"/>
  <c r="D34"/>
  <c r="E34"/>
  <c r="P34"/>
  <c r="S34"/>
  <c r="V34" s="1"/>
  <c r="W34"/>
  <c r="X34"/>
  <c r="D35"/>
  <c r="E35"/>
  <c r="P35"/>
  <c r="S35"/>
  <c r="V35" s="1"/>
  <c r="W35"/>
  <c r="X35"/>
  <c r="D36"/>
  <c r="E36"/>
  <c r="P36"/>
  <c r="S36" s="1"/>
  <c r="X36"/>
  <c r="D37"/>
  <c r="E37"/>
  <c r="P37"/>
  <c r="S37"/>
  <c r="V37" s="1"/>
  <c r="W37"/>
  <c r="X37"/>
  <c r="P38"/>
  <c r="S38" s="1"/>
  <c r="X38"/>
  <c r="P39"/>
  <c r="S39"/>
  <c r="V39" s="1"/>
  <c r="W39"/>
  <c r="X39"/>
  <c r="P40"/>
  <c r="S40" s="1"/>
  <c r="X40"/>
  <c r="D41"/>
  <c r="E41"/>
  <c r="P41"/>
  <c r="S41"/>
  <c r="V41" s="1"/>
  <c r="W41"/>
  <c r="X41"/>
  <c r="P42"/>
  <c r="S42" s="1"/>
  <c r="X42"/>
  <c r="D43"/>
  <c r="E43"/>
  <c r="P43"/>
  <c r="S43"/>
  <c r="V43" s="1"/>
  <c r="W43"/>
  <c r="X43"/>
  <c r="D44"/>
  <c r="E44"/>
  <c r="P44"/>
  <c r="S44" s="1"/>
  <c r="X44"/>
  <c r="P45"/>
  <c r="S45"/>
  <c r="V45" s="1"/>
  <c r="W45"/>
  <c r="X45"/>
  <c r="P46"/>
  <c r="S46" s="1"/>
  <c r="X46"/>
  <c r="P47"/>
  <c r="S47"/>
  <c r="V47"/>
  <c r="W47"/>
  <c r="X47"/>
  <c r="P48"/>
  <c r="S48" s="1"/>
  <c r="X48"/>
  <c r="P49"/>
  <c r="S49" s="1"/>
  <c r="X49"/>
  <c r="P50"/>
  <c r="S50" s="1"/>
  <c r="X50"/>
  <c r="P51"/>
  <c r="S51"/>
  <c r="V51"/>
  <c r="W51"/>
  <c r="X51"/>
  <c r="P52"/>
  <c r="S52" s="1"/>
  <c r="X52"/>
  <c r="D53"/>
  <c r="P53"/>
  <c r="S53" s="1"/>
  <c r="X53"/>
  <c r="P54"/>
  <c r="S54"/>
  <c r="V54" s="1"/>
  <c r="W54"/>
  <c r="X54"/>
  <c r="P55"/>
  <c r="S55" s="1"/>
  <c r="X55"/>
  <c r="P56"/>
  <c r="S56"/>
  <c r="V56" s="1"/>
  <c r="W56"/>
  <c r="X56"/>
  <c r="P57"/>
  <c r="S57"/>
  <c r="V57"/>
  <c r="W57"/>
  <c r="X57"/>
  <c r="D58"/>
  <c r="P58"/>
  <c r="S58"/>
  <c r="V58"/>
  <c r="W58"/>
  <c r="X58"/>
  <c r="D59"/>
  <c r="P59"/>
  <c r="S59" s="1"/>
  <c r="X59"/>
  <c r="D60"/>
  <c r="P60"/>
  <c r="S60" s="1"/>
  <c r="X60"/>
  <c r="D61"/>
  <c r="P61"/>
  <c r="S61" s="1"/>
  <c r="X61"/>
  <c r="D62"/>
  <c r="P62"/>
  <c r="S62" s="1"/>
  <c r="X62"/>
  <c r="P63"/>
  <c r="S63"/>
  <c r="V63" s="1"/>
  <c r="W63"/>
  <c r="X63"/>
  <c r="P64"/>
  <c r="S64" s="1"/>
  <c r="X64"/>
  <c r="P65"/>
  <c r="S65"/>
  <c r="V65" s="1"/>
  <c r="W65"/>
  <c r="X65"/>
  <c r="P66"/>
  <c r="S66" s="1"/>
  <c r="X66"/>
  <c r="P67"/>
  <c r="S67"/>
  <c r="V67" s="1"/>
  <c r="W67"/>
  <c r="X67"/>
  <c r="P68"/>
  <c r="S68" s="1"/>
  <c r="X68"/>
  <c r="P69"/>
  <c r="S69"/>
  <c r="V69" s="1"/>
  <c r="W69"/>
  <c r="X69"/>
  <c r="D70"/>
  <c r="P70"/>
  <c r="S70"/>
  <c r="V70" s="1"/>
  <c r="W70"/>
  <c r="X70"/>
  <c r="P71"/>
  <c r="S71" s="1"/>
  <c r="X71"/>
  <c r="P72"/>
  <c r="S72"/>
  <c r="V72" s="1"/>
  <c r="W72"/>
  <c r="X72"/>
  <c r="D73"/>
  <c r="P73"/>
  <c r="S73"/>
  <c r="V73" s="1"/>
  <c r="W73"/>
  <c r="X73"/>
  <c r="P74"/>
  <c r="S74" s="1"/>
  <c r="X74"/>
  <c r="D75"/>
  <c r="P75"/>
  <c r="S75" s="1"/>
  <c r="X75"/>
  <c r="P76"/>
  <c r="S76"/>
  <c r="V76" s="1"/>
  <c r="W76"/>
  <c r="X76"/>
  <c r="D77"/>
  <c r="P77"/>
  <c r="S77"/>
  <c r="V77" s="1"/>
  <c r="W77"/>
  <c r="X77"/>
  <c r="D78"/>
  <c r="P78"/>
  <c r="S78"/>
  <c r="V78"/>
  <c r="W78"/>
  <c r="X78"/>
  <c r="D79"/>
  <c r="P79"/>
  <c r="S79"/>
  <c r="V79"/>
  <c r="W79"/>
  <c r="X79"/>
  <c r="P80"/>
  <c r="S80"/>
  <c r="V80"/>
  <c r="W80"/>
  <c r="X80"/>
  <c r="D81"/>
  <c r="P81"/>
  <c r="S81"/>
  <c r="V81" s="1"/>
  <c r="W81"/>
  <c r="X81"/>
  <c r="D82"/>
  <c r="P82"/>
  <c r="S82"/>
  <c r="V82"/>
  <c r="W82"/>
  <c r="X82"/>
  <c r="D83"/>
  <c r="P83"/>
  <c r="S83" s="1"/>
  <c r="X83"/>
  <c r="P84"/>
  <c r="S84"/>
  <c r="V84"/>
  <c r="W84"/>
  <c r="X84"/>
  <c r="P85"/>
  <c r="S85" s="1"/>
  <c r="X85"/>
  <c r="P86"/>
  <c r="S86" s="1"/>
  <c r="X86"/>
  <c r="D87"/>
  <c r="P87"/>
  <c r="S87" s="1"/>
  <c r="X87"/>
  <c r="D88"/>
  <c r="P88"/>
  <c r="S88" s="1"/>
  <c r="X88"/>
  <c r="P89"/>
  <c r="S89"/>
  <c r="V89"/>
  <c r="W89"/>
  <c r="X89"/>
  <c r="P90"/>
  <c r="S90" s="1"/>
  <c r="X90"/>
  <c r="D91"/>
  <c r="P91"/>
  <c r="S91" s="1"/>
  <c r="X91"/>
  <c r="P92"/>
  <c r="S92" s="1"/>
  <c r="X92"/>
  <c r="P93"/>
  <c r="S93" s="1"/>
  <c r="X93"/>
  <c r="P94"/>
  <c r="S94"/>
  <c r="V94"/>
  <c r="W94"/>
  <c r="X94"/>
  <c r="P95"/>
  <c r="S95" s="1"/>
  <c r="X95"/>
  <c r="P96"/>
  <c r="S96" s="1"/>
  <c r="X96"/>
  <c r="P97"/>
  <c r="S97" s="1"/>
  <c r="X97"/>
  <c r="P98"/>
  <c r="S98"/>
  <c r="V98"/>
  <c r="W98"/>
  <c r="X98"/>
  <c r="P99"/>
  <c r="S99" s="1"/>
  <c r="X99"/>
  <c r="P100"/>
  <c r="S100" s="1"/>
  <c r="X100"/>
  <c r="P101"/>
  <c r="S101" s="1"/>
  <c r="X101"/>
  <c r="P102"/>
  <c r="S102" s="1"/>
  <c r="X102"/>
  <c r="P103"/>
  <c r="S103" s="1"/>
  <c r="X103"/>
  <c r="P104"/>
  <c r="S104"/>
  <c r="V104"/>
  <c r="W104"/>
  <c r="X104"/>
  <c r="P105"/>
  <c r="S105" s="1"/>
  <c r="X105"/>
  <c r="P106"/>
  <c r="S106" s="1"/>
  <c r="X106"/>
  <c r="P107"/>
  <c r="S107"/>
  <c r="V107" s="1"/>
  <c r="W107"/>
  <c r="X107"/>
  <c r="P108"/>
  <c r="S108" s="1"/>
  <c r="X108"/>
  <c r="P109"/>
  <c r="S109"/>
  <c r="V109"/>
  <c r="W109"/>
  <c r="X109"/>
  <c r="V110"/>
  <c r="V111"/>
  <c r="V112"/>
  <c r="D4" i="10"/>
  <c r="F4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A113"/>
  <c r="H113"/>
  <c r="A114"/>
  <c r="H114"/>
  <c r="A115"/>
  <c r="H115"/>
  <c r="A116"/>
  <c r="H116"/>
  <c r="A117"/>
  <c r="H117"/>
  <c r="A118"/>
  <c r="H118"/>
  <c r="A119"/>
  <c r="H119"/>
  <c r="A120"/>
  <c r="H120"/>
  <c r="A121"/>
  <c r="H121"/>
  <c r="A122"/>
  <c r="H122"/>
  <c r="A123"/>
  <c r="H123"/>
  <c r="A124"/>
  <c r="H124"/>
  <c r="A125"/>
  <c r="H125"/>
  <c r="A126"/>
  <c r="H126"/>
  <c r="A127"/>
  <c r="H127"/>
  <c r="A128"/>
  <c r="H128"/>
  <c r="A129"/>
  <c r="H129"/>
  <c r="A130"/>
  <c r="H130"/>
  <c r="A131"/>
  <c r="H131"/>
  <c r="A132"/>
  <c r="H132"/>
  <c r="A133"/>
  <c r="H133"/>
  <c r="A134"/>
  <c r="H134"/>
  <c r="A135"/>
  <c r="H135"/>
  <c r="A136"/>
  <c r="H136"/>
  <c r="A137"/>
  <c r="H137"/>
  <c r="A138"/>
  <c r="H138"/>
  <c r="A139"/>
  <c r="H139"/>
  <c r="A140"/>
  <c r="H140"/>
  <c r="A141"/>
  <c r="H141"/>
  <c r="A142"/>
  <c r="H142"/>
  <c r="A143"/>
  <c r="H143"/>
  <c r="A144"/>
  <c r="H144"/>
  <c r="A145"/>
  <c r="H145"/>
  <c r="A146"/>
  <c r="H146"/>
  <c r="A147"/>
  <c r="H147"/>
  <c r="A148"/>
  <c r="H148"/>
  <c r="A149"/>
  <c r="H149"/>
  <c r="A150"/>
  <c r="H150"/>
  <c r="A151"/>
  <c r="H151"/>
  <c r="A152"/>
  <c r="H152"/>
  <c r="A153"/>
  <c r="H153"/>
  <c r="A154"/>
  <c r="H154"/>
  <c r="A155"/>
  <c r="H155"/>
  <c r="A156"/>
  <c r="H156"/>
  <c r="A157"/>
  <c r="H157"/>
  <c r="A158"/>
  <c r="H158"/>
  <c r="A159"/>
  <c r="H159"/>
  <c r="A160"/>
  <c r="H160"/>
  <c r="A161"/>
  <c r="H161"/>
  <c r="A162"/>
  <c r="H162"/>
  <c r="A163"/>
  <c r="H163"/>
  <c r="A164"/>
  <c r="H164"/>
  <c r="A165"/>
  <c r="H165"/>
  <c r="A166"/>
  <c r="H166"/>
  <c r="A167"/>
  <c r="H167"/>
  <c r="A168"/>
  <c r="H168"/>
  <c r="A169"/>
  <c r="H169"/>
  <c r="A170"/>
  <c r="H170"/>
  <c r="A171"/>
  <c r="H171"/>
  <c r="A172"/>
  <c r="H172"/>
  <c r="A173"/>
  <c r="H173"/>
  <c r="A174"/>
  <c r="H174"/>
  <c r="A175"/>
  <c r="H175"/>
  <c r="A176"/>
  <c r="H176"/>
  <c r="A177"/>
  <c r="H177"/>
  <c r="A178"/>
  <c r="H178"/>
  <c r="A179"/>
  <c r="H179"/>
  <c r="A180"/>
  <c r="H180"/>
  <c r="A181"/>
  <c r="H181"/>
  <c r="A182"/>
  <c r="H182"/>
  <c r="A183"/>
  <c r="H183"/>
  <c r="A184"/>
  <c r="H184"/>
  <c r="A185"/>
  <c r="H185"/>
  <c r="A186"/>
  <c r="H186"/>
  <c r="A187"/>
  <c r="H187"/>
  <c r="A188"/>
  <c r="H188"/>
  <c r="A189"/>
  <c r="H189"/>
  <c r="A190"/>
  <c r="H190"/>
  <c r="A191"/>
  <c r="H191"/>
  <c r="A192"/>
  <c r="H192"/>
  <c r="A193"/>
  <c r="H193"/>
  <c r="A194"/>
  <c r="H194"/>
  <c r="A195"/>
  <c r="H195"/>
  <c r="A196"/>
  <c r="H196"/>
  <c r="A197"/>
  <c r="H197"/>
  <c r="A198"/>
  <c r="H198"/>
  <c r="A199"/>
  <c r="A200"/>
  <c r="C4" i="9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D4" i="8"/>
  <c r="D5"/>
  <c r="D6"/>
  <c r="D7"/>
  <c r="D8"/>
  <c r="D9"/>
  <c r="D10"/>
  <c r="D11"/>
  <c r="D12"/>
  <c r="D13"/>
  <c r="F13"/>
  <c r="D14"/>
  <c r="D15"/>
  <c r="F15"/>
  <c r="D16"/>
  <c r="F16"/>
  <c r="D17"/>
  <c r="F17"/>
  <c r="B18"/>
  <c r="B17" s="1"/>
  <c r="D18"/>
  <c r="F18"/>
  <c r="J18"/>
  <c r="K18"/>
  <c r="D19"/>
  <c r="F19"/>
  <c r="J19"/>
  <c r="K19"/>
  <c r="D20"/>
  <c r="J20" s="1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F4" i="7"/>
  <c r="I4"/>
  <c r="J4"/>
  <c r="K4"/>
  <c r="F5"/>
  <c r="G5"/>
  <c r="I5"/>
  <c r="J5"/>
  <c r="K5"/>
  <c r="F6"/>
  <c r="G6"/>
  <c r="I6"/>
  <c r="J6"/>
  <c r="K6"/>
  <c r="F7"/>
  <c r="G7"/>
  <c r="I7"/>
  <c r="J7"/>
  <c r="K7"/>
  <c r="F8"/>
  <c r="G8"/>
  <c r="I8"/>
  <c r="J8"/>
  <c r="K8"/>
  <c r="F9"/>
  <c r="G9"/>
  <c r="I9"/>
  <c r="J9"/>
  <c r="K9"/>
  <c r="F10"/>
  <c r="G10"/>
  <c r="I10"/>
  <c r="J10"/>
  <c r="K10"/>
  <c r="F11"/>
  <c r="G11"/>
  <c r="I11"/>
  <c r="J11"/>
  <c r="K11"/>
  <c r="F12"/>
  <c r="G12"/>
  <c r="I12"/>
  <c r="J12"/>
  <c r="K12"/>
  <c r="F13"/>
  <c r="G13"/>
  <c r="I13"/>
  <c r="J13"/>
  <c r="K13"/>
  <c r="F14"/>
  <c r="G14"/>
  <c r="I14"/>
  <c r="J14"/>
  <c r="K14"/>
  <c r="F15"/>
  <c r="G15"/>
  <c r="I15"/>
  <c r="J15"/>
  <c r="K15"/>
  <c r="L15"/>
  <c r="L14" s="1"/>
  <c r="N15"/>
  <c r="O15"/>
  <c r="P15"/>
  <c r="F16"/>
  <c r="G16"/>
  <c r="H16"/>
  <c r="K16" s="1"/>
  <c r="I16"/>
  <c r="J16"/>
  <c r="N16"/>
  <c r="O16"/>
  <c r="P16"/>
  <c r="G17"/>
  <c r="K17"/>
  <c r="L17"/>
  <c r="N17"/>
  <c r="O17"/>
  <c r="P17"/>
  <c r="M18"/>
  <c r="N18"/>
  <c r="O18"/>
  <c r="P18"/>
  <c r="L19"/>
  <c r="N19"/>
  <c r="O19"/>
  <c r="P19"/>
  <c r="B20"/>
  <c r="B19" s="1"/>
  <c r="D20"/>
  <c r="E20"/>
  <c r="F20"/>
  <c r="L20"/>
  <c r="P20"/>
  <c r="D21"/>
  <c r="E21"/>
  <c r="F21" s="1"/>
  <c r="L21"/>
  <c r="P21" s="1"/>
  <c r="B22"/>
  <c r="D22" s="1"/>
  <c r="E22"/>
  <c r="F22" s="1"/>
  <c r="L22"/>
  <c r="P22" s="1"/>
  <c r="B23"/>
  <c r="D23" s="1"/>
  <c r="E23"/>
  <c r="F23" s="1"/>
  <c r="L23"/>
  <c r="P23" s="1"/>
  <c r="B24"/>
  <c r="D24" s="1"/>
  <c r="E24"/>
  <c r="F24" s="1"/>
  <c r="L24"/>
  <c r="P24" s="1"/>
  <c r="B25"/>
  <c r="D25" s="1"/>
  <c r="E25"/>
  <c r="F25" s="1"/>
  <c r="L25"/>
  <c r="P25" s="1"/>
  <c r="B26"/>
  <c r="D26" s="1"/>
  <c r="E26"/>
  <c r="F26" s="1"/>
  <c r="L26"/>
  <c r="P26" s="1"/>
  <c r="B27"/>
  <c r="D27" s="1"/>
  <c r="E27"/>
  <c r="F27" s="1"/>
  <c r="L27"/>
  <c r="P27" s="1"/>
  <c r="B28"/>
  <c r="D28" s="1"/>
  <c r="E28"/>
  <c r="F28" s="1"/>
  <c r="L28"/>
  <c r="P28" s="1"/>
  <c r="B29"/>
  <c r="D29" s="1"/>
  <c r="E29"/>
  <c r="F29" s="1"/>
  <c r="B30"/>
  <c r="D30" s="1"/>
  <c r="E30"/>
  <c r="F30" s="1"/>
  <c r="B31"/>
  <c r="D31" s="1"/>
  <c r="E31"/>
  <c r="F31" s="1"/>
  <c r="B32"/>
  <c r="D32" s="1"/>
  <c r="E32"/>
  <c r="F32" s="1"/>
  <c r="B33"/>
  <c r="D33" s="1"/>
  <c r="E33"/>
  <c r="F33" s="1"/>
  <c r="B34"/>
  <c r="D34" s="1"/>
  <c r="E34"/>
  <c r="F34" s="1"/>
  <c r="B35"/>
  <c r="D35" s="1"/>
  <c r="E35"/>
  <c r="F35" s="1"/>
  <c r="B36"/>
  <c r="D36" s="1"/>
  <c r="E36"/>
  <c r="F36" s="1"/>
  <c r="B37"/>
  <c r="D37" s="1"/>
  <c r="E37"/>
  <c r="F37" s="1"/>
  <c r="B38"/>
  <c r="D38" s="1"/>
  <c r="E38"/>
  <c r="F38" s="1"/>
  <c r="B39"/>
  <c r="D39" s="1"/>
  <c r="E39"/>
  <c r="F39" s="1"/>
  <c r="B40"/>
  <c r="D40" s="1"/>
  <c r="E40"/>
  <c r="F40" s="1"/>
  <c r="B41"/>
  <c r="D41" s="1"/>
  <c r="E41"/>
  <c r="F41" s="1"/>
  <c r="B42"/>
  <c r="C42" s="1"/>
  <c r="B43" s="1"/>
  <c r="D42"/>
  <c r="F42"/>
  <c r="F43"/>
  <c r="F44"/>
  <c r="F45"/>
  <c r="F46"/>
  <c r="F47"/>
  <c r="F48"/>
  <c r="F49"/>
  <c r="F50"/>
  <c r="F51"/>
  <c r="F52"/>
  <c r="F53"/>
  <c r="D55"/>
  <c r="F55"/>
  <c r="D56"/>
  <c r="F56"/>
  <c r="D57"/>
  <c r="F57"/>
  <c r="D4" i="6"/>
  <c r="E4"/>
  <c r="F4" s="1"/>
  <c r="G4"/>
  <c r="L4"/>
  <c r="C5"/>
  <c r="B19"/>
  <c r="B20"/>
  <c r="B21"/>
  <c r="B22"/>
  <c r="B23"/>
  <c r="B24"/>
  <c r="B25"/>
  <c r="B26"/>
  <c r="B27" s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B3" i="5"/>
  <c r="C3"/>
  <c r="AX3"/>
  <c r="D3" s="1"/>
  <c r="J4"/>
  <c r="M4"/>
  <c r="N4"/>
  <c r="O4"/>
  <c r="AX4"/>
  <c r="J5"/>
  <c r="K5"/>
  <c r="M5"/>
  <c r="N5"/>
  <c r="O5"/>
  <c r="AX5"/>
  <c r="J6"/>
  <c r="K6"/>
  <c r="M6" s="1"/>
  <c r="N6"/>
  <c r="O6" s="1"/>
  <c r="AX6"/>
  <c r="J7"/>
  <c r="K7"/>
  <c r="M7"/>
  <c r="N7"/>
  <c r="O7"/>
  <c r="AX7"/>
  <c r="J8"/>
  <c r="K8"/>
  <c r="M8" s="1"/>
  <c r="N8"/>
  <c r="O8" s="1"/>
  <c r="AX8"/>
  <c r="J9"/>
  <c r="K9"/>
  <c r="M9"/>
  <c r="N9"/>
  <c r="O9"/>
  <c r="AX9"/>
  <c r="J10"/>
  <c r="K10"/>
  <c r="M10" s="1"/>
  <c r="N10"/>
  <c r="O10"/>
  <c r="AX10"/>
  <c r="J11"/>
  <c r="K11"/>
  <c r="M11"/>
  <c r="N11"/>
  <c r="O11"/>
  <c r="AX11"/>
  <c r="J12"/>
  <c r="K12"/>
  <c r="M12"/>
  <c r="N12"/>
  <c r="O12"/>
  <c r="AX12"/>
  <c r="J13"/>
  <c r="K13"/>
  <c r="M13" s="1"/>
  <c r="N13"/>
  <c r="O13" s="1"/>
  <c r="AX13"/>
  <c r="J14"/>
  <c r="K14"/>
  <c r="M14"/>
  <c r="N14"/>
  <c r="O14"/>
  <c r="AO14"/>
  <c r="AN14" s="1"/>
  <c r="AX14"/>
  <c r="J15"/>
  <c r="B15" s="1"/>
  <c r="K15"/>
  <c r="M15"/>
  <c r="N15"/>
  <c r="O15"/>
  <c r="P15"/>
  <c r="P14" s="1"/>
  <c r="R15"/>
  <c r="S15"/>
  <c r="T15"/>
  <c r="AP15"/>
  <c r="AO15" s="1"/>
  <c r="AN15" s="1"/>
  <c r="AX15"/>
  <c r="J16"/>
  <c r="K16"/>
  <c r="L16"/>
  <c r="M16"/>
  <c r="N16"/>
  <c r="O16"/>
  <c r="R16"/>
  <c r="S16"/>
  <c r="T16"/>
  <c r="AP16"/>
  <c r="AO16" s="1"/>
  <c r="AN16" s="1"/>
  <c r="AX16"/>
  <c r="K17"/>
  <c r="O17" s="1"/>
  <c r="P17"/>
  <c r="R17" s="1"/>
  <c r="S17"/>
  <c r="T17" s="1"/>
  <c r="AP17"/>
  <c r="AO17" s="1"/>
  <c r="AN17" s="1"/>
  <c r="AX17"/>
  <c r="Q18"/>
  <c r="R18"/>
  <c r="S18"/>
  <c r="T18"/>
  <c r="AP18"/>
  <c r="AO18" s="1"/>
  <c r="AN18" s="1"/>
  <c r="AX18"/>
  <c r="P19"/>
  <c r="R19" s="1"/>
  <c r="S19"/>
  <c r="T19"/>
  <c r="AP19"/>
  <c r="AO19" s="1"/>
  <c r="AN19" s="1"/>
  <c r="AX19"/>
  <c r="F20"/>
  <c r="F19" s="1"/>
  <c r="H20"/>
  <c r="I20"/>
  <c r="J20" s="1"/>
  <c r="B20" s="1"/>
  <c r="P20"/>
  <c r="T20"/>
  <c r="AP20"/>
  <c r="AO20" s="1"/>
  <c r="AN20" s="1"/>
  <c r="AX20"/>
  <c r="H21"/>
  <c r="C21" s="1"/>
  <c r="I21"/>
  <c r="J21" s="1"/>
  <c r="P21"/>
  <c r="D21" s="1"/>
  <c r="Z21"/>
  <c r="AO21"/>
  <c r="AN21" s="1"/>
  <c r="AP21"/>
  <c r="AX21"/>
  <c r="F22"/>
  <c r="D22" s="1"/>
  <c r="I22"/>
  <c r="J22" s="1"/>
  <c r="B22" s="1"/>
  <c r="P22"/>
  <c r="T22"/>
  <c r="Z22"/>
  <c r="AX22"/>
  <c r="F23"/>
  <c r="D23" s="1"/>
  <c r="H23"/>
  <c r="C23" s="1"/>
  <c r="I23"/>
  <c r="J23" s="1"/>
  <c r="B23" s="1"/>
  <c r="P23"/>
  <c r="T23" s="1"/>
  <c r="Z23"/>
  <c r="AX23"/>
  <c r="F24"/>
  <c r="D24" s="1"/>
  <c r="H24"/>
  <c r="C24" s="1"/>
  <c r="I24"/>
  <c r="J24"/>
  <c r="B24" s="1"/>
  <c r="P24"/>
  <c r="T24"/>
  <c r="Z24"/>
  <c r="F25"/>
  <c r="D25" s="1"/>
  <c r="H25"/>
  <c r="C25" s="1"/>
  <c r="I25"/>
  <c r="J25"/>
  <c r="B25" s="1"/>
  <c r="P25"/>
  <c r="T25"/>
  <c r="Z25"/>
  <c r="F26"/>
  <c r="D26" s="1"/>
  <c r="H26"/>
  <c r="C26" s="1"/>
  <c r="I26"/>
  <c r="J26"/>
  <c r="B26" s="1"/>
  <c r="P26"/>
  <c r="T26"/>
  <c r="Z26"/>
  <c r="F27"/>
  <c r="D27" s="1"/>
  <c r="H27"/>
  <c r="C27" s="1"/>
  <c r="I27"/>
  <c r="J27"/>
  <c r="B27" s="1"/>
  <c r="P27"/>
  <c r="T27"/>
  <c r="Z27"/>
  <c r="F28"/>
  <c r="H28"/>
  <c r="C28" s="1"/>
  <c r="I28"/>
  <c r="J28"/>
  <c r="B28" s="1"/>
  <c r="P28"/>
  <c r="D28" s="1"/>
  <c r="T28"/>
  <c r="Z28"/>
  <c r="D29"/>
  <c r="F29"/>
  <c r="H29"/>
  <c r="C29" s="1"/>
  <c r="I29"/>
  <c r="J29"/>
  <c r="B29" s="1"/>
  <c r="Z29"/>
  <c r="D30"/>
  <c r="F30"/>
  <c r="H30"/>
  <c r="C30" s="1"/>
  <c r="I30"/>
  <c r="J30"/>
  <c r="B30" s="1"/>
  <c r="Z30"/>
  <c r="D31"/>
  <c r="F31"/>
  <c r="H31"/>
  <c r="C31" s="1"/>
  <c r="I31"/>
  <c r="J31"/>
  <c r="B31" s="1"/>
  <c r="Z31"/>
  <c r="D32"/>
  <c r="F32"/>
  <c r="H32"/>
  <c r="C32" s="1"/>
  <c r="I32"/>
  <c r="J32"/>
  <c r="B32" s="1"/>
  <c r="Z32"/>
  <c r="D33"/>
  <c r="F33"/>
  <c r="H33"/>
  <c r="C33" s="1"/>
  <c r="I33"/>
  <c r="J33"/>
  <c r="B33" s="1"/>
  <c r="Z33"/>
  <c r="D34"/>
  <c r="F34"/>
  <c r="H34"/>
  <c r="C34" s="1"/>
  <c r="I34"/>
  <c r="J34"/>
  <c r="B34" s="1"/>
  <c r="Z34"/>
  <c r="D35"/>
  <c r="F35"/>
  <c r="H35"/>
  <c r="C35" s="1"/>
  <c r="I35"/>
  <c r="J35"/>
  <c r="B35" s="1"/>
  <c r="Z35"/>
  <c r="D36"/>
  <c r="F36"/>
  <c r="H36"/>
  <c r="C36" s="1"/>
  <c r="I36"/>
  <c r="J36"/>
  <c r="B36" s="1"/>
  <c r="Z36"/>
  <c r="D37"/>
  <c r="F37"/>
  <c r="H37"/>
  <c r="C37" s="1"/>
  <c r="I37"/>
  <c r="J37"/>
  <c r="B37" s="1"/>
  <c r="Z37"/>
  <c r="D38"/>
  <c r="F38"/>
  <c r="H38"/>
  <c r="C38" s="1"/>
  <c r="I38"/>
  <c r="J38"/>
  <c r="B38" s="1"/>
  <c r="Z38"/>
  <c r="D39"/>
  <c r="F39"/>
  <c r="H39"/>
  <c r="C39" s="1"/>
  <c r="I39"/>
  <c r="J39"/>
  <c r="B39" s="1"/>
  <c r="Z39"/>
  <c r="D40"/>
  <c r="F40"/>
  <c r="H40"/>
  <c r="C40" s="1"/>
  <c r="I40"/>
  <c r="J40"/>
  <c r="B40" s="1"/>
  <c r="Z40"/>
  <c r="D41"/>
  <c r="F41"/>
  <c r="H41"/>
  <c r="C41" s="1"/>
  <c r="I41"/>
  <c r="J41"/>
  <c r="B41" s="1"/>
  <c r="Z41"/>
  <c r="D42"/>
  <c r="F42"/>
  <c r="G42"/>
  <c r="F43" s="1"/>
  <c r="H42"/>
  <c r="C42" s="1"/>
  <c r="J42"/>
  <c r="B42" s="1"/>
  <c r="Z42"/>
  <c r="J43"/>
  <c r="B43" s="1"/>
  <c r="Z43"/>
  <c r="J44"/>
  <c r="B44" s="1"/>
  <c r="Z44"/>
  <c r="J45"/>
  <c r="B45" s="1"/>
  <c r="Z45"/>
  <c r="J46"/>
  <c r="B46" s="1"/>
  <c r="Z46"/>
  <c r="J47"/>
  <c r="B47" s="1"/>
  <c r="Z47"/>
  <c r="J48"/>
  <c r="B48" s="1"/>
  <c r="Z48"/>
  <c r="J49"/>
  <c r="B49" s="1"/>
  <c r="Z49"/>
  <c r="J50"/>
  <c r="B50" s="1"/>
  <c r="Z50"/>
  <c r="J51"/>
  <c r="B51" s="1"/>
  <c r="Z51"/>
  <c r="J52"/>
  <c r="B52" s="1"/>
  <c r="Z52"/>
  <c r="J53"/>
  <c r="B53" s="1"/>
  <c r="Z53"/>
  <c r="Z54"/>
  <c r="D55"/>
  <c r="H55"/>
  <c r="C55" s="1"/>
  <c r="J55"/>
  <c r="B55" s="1"/>
  <c r="Z55"/>
  <c r="D56"/>
  <c r="H56"/>
  <c r="C56" s="1"/>
  <c r="J56"/>
  <c r="B56" s="1"/>
  <c r="Z56"/>
  <c r="D57"/>
  <c r="H57"/>
  <c r="C57" s="1"/>
  <c r="J57"/>
  <c r="B57" s="1"/>
  <c r="Z57"/>
  <c r="A58"/>
  <c r="D58"/>
  <c r="Y58"/>
  <c r="B58" s="1"/>
  <c r="Z58"/>
  <c r="C58" s="1"/>
  <c r="A59"/>
  <c r="B59"/>
  <c r="C59"/>
  <c r="D59"/>
  <c r="C4" i="4"/>
  <c r="D4" s="1"/>
  <c r="C5"/>
  <c r="D5" s="1"/>
  <c r="C6"/>
  <c r="D6" s="1"/>
  <c r="Q6"/>
  <c r="R6"/>
  <c r="C7"/>
  <c r="D7"/>
  <c r="R7"/>
  <c r="C8"/>
  <c r="D8"/>
  <c r="R8"/>
  <c r="C9"/>
  <c r="D9" s="1"/>
  <c r="R9"/>
  <c r="C10"/>
  <c r="D10"/>
  <c r="R10"/>
  <c r="C11"/>
  <c r="D11" s="1"/>
  <c r="R11"/>
  <c r="C12"/>
  <c r="D12"/>
  <c r="R12"/>
  <c r="C13"/>
  <c r="D13" s="1"/>
  <c r="R13"/>
  <c r="C14"/>
  <c r="D14"/>
  <c r="R14"/>
  <c r="C15"/>
  <c r="D15" s="1"/>
  <c r="Q15"/>
  <c r="R15" s="1"/>
  <c r="C16"/>
  <c r="D16" s="1"/>
  <c r="R16"/>
  <c r="C17"/>
  <c r="D17"/>
  <c r="R17"/>
  <c r="C18"/>
  <c r="D18"/>
  <c r="F18"/>
  <c r="G18"/>
  <c r="H18"/>
  <c r="R18"/>
  <c r="C19"/>
  <c r="D19" s="1"/>
  <c r="H19" s="1"/>
  <c r="F19"/>
  <c r="R19"/>
  <c r="D20"/>
  <c r="F20"/>
  <c r="G20"/>
  <c r="H20"/>
  <c r="R20"/>
  <c r="C21"/>
  <c r="D21"/>
  <c r="F21"/>
  <c r="H21"/>
  <c r="R21"/>
  <c r="C22"/>
  <c r="G21" s="1"/>
  <c r="D22"/>
  <c r="F22"/>
  <c r="G22"/>
  <c r="H22"/>
  <c r="R22"/>
  <c r="C23"/>
  <c r="D23" s="1"/>
  <c r="H23" s="1"/>
  <c r="F23"/>
  <c r="G23"/>
  <c r="R23"/>
  <c r="C24"/>
  <c r="D24"/>
  <c r="F24"/>
  <c r="G24"/>
  <c r="H24"/>
  <c r="R24"/>
  <c r="C25"/>
  <c r="D25"/>
  <c r="F25"/>
  <c r="G25"/>
  <c r="H25"/>
  <c r="R25"/>
  <c r="C26"/>
  <c r="D26"/>
  <c r="F26"/>
  <c r="G26"/>
  <c r="H26"/>
  <c r="R26"/>
  <c r="C27"/>
  <c r="D27"/>
  <c r="F27"/>
  <c r="G27"/>
  <c r="H27"/>
  <c r="R27"/>
  <c r="C28"/>
  <c r="D28"/>
  <c r="F28"/>
  <c r="G28"/>
  <c r="H28"/>
  <c r="Q28"/>
  <c r="R28" s="1"/>
  <c r="C29"/>
  <c r="D29"/>
  <c r="F29"/>
  <c r="G29"/>
  <c r="H29"/>
  <c r="R29"/>
  <c r="C30"/>
  <c r="D30"/>
  <c r="F30"/>
  <c r="G30"/>
  <c r="H30"/>
  <c r="R30"/>
  <c r="C31"/>
  <c r="D31"/>
  <c r="F31"/>
  <c r="G31"/>
  <c r="H31"/>
  <c r="Q31"/>
  <c r="R31" s="1"/>
  <c r="D32"/>
  <c r="F32"/>
  <c r="G32"/>
  <c r="H32"/>
  <c r="R32"/>
  <c r="D33"/>
  <c r="F33"/>
  <c r="G33"/>
  <c r="H33"/>
  <c r="R33"/>
  <c r="D34"/>
  <c r="F34"/>
  <c r="G34"/>
  <c r="H34"/>
  <c r="R34"/>
  <c r="D35"/>
  <c r="F35"/>
  <c r="G35"/>
  <c r="H35"/>
  <c r="R35"/>
  <c r="D36"/>
  <c r="F36"/>
  <c r="G36"/>
  <c r="H36"/>
  <c r="R36"/>
  <c r="D37"/>
  <c r="F37"/>
  <c r="G37"/>
  <c r="H37"/>
  <c r="R37"/>
  <c r="D38"/>
  <c r="F38"/>
  <c r="G38"/>
  <c r="H38"/>
  <c r="R38"/>
  <c r="D39"/>
  <c r="F39"/>
  <c r="G39"/>
  <c r="H39"/>
  <c r="R39"/>
  <c r="D40"/>
  <c r="F40"/>
  <c r="G40"/>
  <c r="H40"/>
  <c r="R40"/>
  <c r="D41"/>
  <c r="F41"/>
  <c r="G41" s="1"/>
  <c r="H41"/>
  <c r="R41"/>
  <c r="C42"/>
  <c r="D42"/>
  <c r="F42"/>
  <c r="G42" s="1"/>
  <c r="H42"/>
  <c r="J42"/>
  <c r="Q42"/>
  <c r="R42"/>
  <c r="D43"/>
  <c r="F43"/>
  <c r="G43" s="1"/>
  <c r="H43"/>
  <c r="J43"/>
  <c r="K43"/>
  <c r="R43"/>
  <c r="D44"/>
  <c r="F44"/>
  <c r="G44"/>
  <c r="H44"/>
  <c r="J44"/>
  <c r="K44"/>
  <c r="R44"/>
  <c r="D45"/>
  <c r="F45"/>
  <c r="G45" s="1"/>
  <c r="H45"/>
  <c r="J45"/>
  <c r="K45"/>
  <c r="R45"/>
  <c r="D46"/>
  <c r="F46"/>
  <c r="G46"/>
  <c r="H46"/>
  <c r="J46"/>
  <c r="K46"/>
  <c r="R46"/>
  <c r="D47"/>
  <c r="F47"/>
  <c r="G47" s="1"/>
  <c r="H47"/>
  <c r="J47"/>
  <c r="K47"/>
  <c r="R47"/>
  <c r="D48"/>
  <c r="F48"/>
  <c r="G48"/>
  <c r="H48"/>
  <c r="J48"/>
  <c r="K48"/>
  <c r="R48"/>
  <c r="D49"/>
  <c r="F49"/>
  <c r="G49" s="1"/>
  <c r="H49"/>
  <c r="J49"/>
  <c r="K49"/>
  <c r="R49"/>
  <c r="D50"/>
  <c r="F50"/>
  <c r="G50" s="1"/>
  <c r="H50"/>
  <c r="J50"/>
  <c r="K50"/>
  <c r="R50"/>
  <c r="D51"/>
  <c r="F51"/>
  <c r="G51"/>
  <c r="H51"/>
  <c r="J51"/>
  <c r="K51"/>
  <c r="R51"/>
  <c r="D52"/>
  <c r="F52"/>
  <c r="G52" s="1"/>
  <c r="H52"/>
  <c r="J52"/>
  <c r="K52"/>
  <c r="R52"/>
  <c r="D53"/>
  <c r="F53"/>
  <c r="G53"/>
  <c r="H53"/>
  <c r="J53"/>
  <c r="K53"/>
  <c r="R53"/>
  <c r="D54"/>
  <c r="F54"/>
  <c r="G54" s="1"/>
  <c r="H54"/>
  <c r="J54"/>
  <c r="K54"/>
  <c r="R54"/>
  <c r="D55"/>
  <c r="F55"/>
  <c r="G55" s="1"/>
  <c r="H55"/>
  <c r="J55"/>
  <c r="K55"/>
  <c r="R55"/>
  <c r="D56"/>
  <c r="F56"/>
  <c r="G56" s="1"/>
  <c r="H56"/>
  <c r="J56"/>
  <c r="K56"/>
  <c r="R56"/>
  <c r="D57"/>
  <c r="F57"/>
  <c r="G57" s="1"/>
  <c r="H57"/>
  <c r="J57"/>
  <c r="K57"/>
  <c r="R57"/>
  <c r="D58"/>
  <c r="F58"/>
  <c r="G58" s="1"/>
  <c r="H58"/>
  <c r="J58"/>
  <c r="K58"/>
  <c r="R58"/>
  <c r="D59"/>
  <c r="F59"/>
  <c r="G59" s="1"/>
  <c r="H59"/>
  <c r="J59"/>
  <c r="K59"/>
  <c r="R59"/>
  <c r="D60"/>
  <c r="F60"/>
  <c r="G60"/>
  <c r="H60"/>
  <c r="J60"/>
  <c r="K60"/>
  <c r="R60"/>
  <c r="D61"/>
  <c r="F61"/>
  <c r="G61" s="1"/>
  <c r="H61"/>
  <c r="J61"/>
  <c r="K61"/>
  <c r="R61"/>
  <c r="D62"/>
  <c r="F62"/>
  <c r="G62" s="1"/>
  <c r="H62"/>
  <c r="J62"/>
  <c r="K62"/>
  <c r="R62"/>
  <c r="D63"/>
  <c r="F63"/>
  <c r="G63" s="1"/>
  <c r="H63"/>
  <c r="J63"/>
  <c r="K63"/>
  <c r="R63"/>
  <c r="D64"/>
  <c r="F64"/>
  <c r="G64" s="1"/>
  <c r="H64"/>
  <c r="J64"/>
  <c r="K64"/>
  <c r="R64"/>
  <c r="D65"/>
  <c r="F65"/>
  <c r="G65" s="1"/>
  <c r="H65"/>
  <c r="J65"/>
  <c r="K65"/>
  <c r="R65"/>
  <c r="D66"/>
  <c r="F66"/>
  <c r="G66" s="1"/>
  <c r="H66"/>
  <c r="J66"/>
  <c r="K66"/>
  <c r="R66"/>
  <c r="D67"/>
  <c r="F67"/>
  <c r="G67" s="1"/>
  <c r="H67"/>
  <c r="J67"/>
  <c r="K67"/>
  <c r="R67"/>
  <c r="D68"/>
  <c r="F68"/>
  <c r="G68" s="1"/>
  <c r="H68"/>
  <c r="J68"/>
  <c r="K68"/>
  <c r="R68"/>
  <c r="D69"/>
  <c r="F69"/>
  <c r="G69" s="1"/>
  <c r="H69"/>
  <c r="J69"/>
  <c r="K69"/>
  <c r="R69"/>
  <c r="D70"/>
  <c r="F70"/>
  <c r="G70"/>
  <c r="H70"/>
  <c r="J70"/>
  <c r="K70"/>
  <c r="R70"/>
  <c r="D71"/>
  <c r="F71"/>
  <c r="G71"/>
  <c r="H71"/>
  <c r="J71"/>
  <c r="K71"/>
  <c r="R71"/>
  <c r="D72"/>
  <c r="F72"/>
  <c r="G72"/>
  <c r="H72"/>
  <c r="J72"/>
  <c r="K72"/>
  <c r="R72"/>
  <c r="D73"/>
  <c r="F73"/>
  <c r="G73" s="1"/>
  <c r="H73"/>
  <c r="J73"/>
  <c r="K73"/>
  <c r="R73"/>
  <c r="D74"/>
  <c r="F74"/>
  <c r="G74" s="1"/>
  <c r="H74"/>
  <c r="J74"/>
  <c r="K74"/>
  <c r="R74"/>
  <c r="D75"/>
  <c r="F75"/>
  <c r="G75" s="1"/>
  <c r="H75"/>
  <c r="J75"/>
  <c r="K75"/>
  <c r="R75"/>
  <c r="T75"/>
  <c r="D76"/>
  <c r="F76"/>
  <c r="G76" s="1"/>
  <c r="H76"/>
  <c r="J76"/>
  <c r="K76"/>
  <c r="R76"/>
  <c r="D77"/>
  <c r="F77"/>
  <c r="G77"/>
  <c r="H77"/>
  <c r="J77"/>
  <c r="K77"/>
  <c r="R77"/>
  <c r="D78"/>
  <c r="F78"/>
  <c r="G78" s="1"/>
  <c r="H78"/>
  <c r="J78"/>
  <c r="K78"/>
  <c r="R78"/>
  <c r="D79"/>
  <c r="F79"/>
  <c r="G79" s="1"/>
  <c r="H79"/>
  <c r="J79"/>
  <c r="K79"/>
  <c r="R79"/>
  <c r="D80"/>
  <c r="F80"/>
  <c r="G80" s="1"/>
  <c r="H80"/>
  <c r="J80"/>
  <c r="K80"/>
  <c r="R80"/>
  <c r="D81"/>
  <c r="F81"/>
  <c r="G81"/>
  <c r="H81"/>
  <c r="J81"/>
  <c r="K81"/>
  <c r="R81"/>
  <c r="D82"/>
  <c r="F82"/>
  <c r="G82" s="1"/>
  <c r="H82"/>
  <c r="J82"/>
  <c r="K82"/>
  <c r="R82"/>
  <c r="D83"/>
  <c r="F83"/>
  <c r="G83" s="1"/>
  <c r="H83"/>
  <c r="J83"/>
  <c r="K83"/>
  <c r="R83"/>
  <c r="D84"/>
  <c r="F84"/>
  <c r="G84" s="1"/>
  <c r="H84"/>
  <c r="J84"/>
  <c r="K84"/>
  <c r="R84"/>
  <c r="D85"/>
  <c r="F85"/>
  <c r="G85" s="1"/>
  <c r="H85"/>
  <c r="J85"/>
  <c r="K85"/>
  <c r="R85"/>
  <c r="D86"/>
  <c r="F86"/>
  <c r="G86"/>
  <c r="H86"/>
  <c r="J86"/>
  <c r="K86"/>
  <c r="R86"/>
  <c r="D87"/>
  <c r="F87"/>
  <c r="G87" s="1"/>
  <c r="H87"/>
  <c r="J87"/>
  <c r="K87"/>
  <c r="R87"/>
  <c r="C88"/>
  <c r="D88" s="1"/>
  <c r="F88"/>
  <c r="G88" s="1"/>
  <c r="J88"/>
  <c r="R88"/>
  <c r="D89"/>
  <c r="F89"/>
  <c r="G89"/>
  <c r="H89"/>
  <c r="J89"/>
  <c r="K89"/>
  <c r="R89"/>
  <c r="D90"/>
  <c r="F90"/>
  <c r="G90" s="1"/>
  <c r="H90"/>
  <c r="J90"/>
  <c r="K90"/>
  <c r="N90"/>
  <c r="D91"/>
  <c r="F91"/>
  <c r="G91" s="1"/>
  <c r="H91"/>
  <c r="J91"/>
  <c r="K91"/>
  <c r="N91"/>
  <c r="R91"/>
  <c r="D92"/>
  <c r="F92"/>
  <c r="G92"/>
  <c r="H92"/>
  <c r="J92"/>
  <c r="K92"/>
  <c r="N92"/>
  <c r="R92"/>
  <c r="D93"/>
  <c r="F93"/>
  <c r="G93" s="1"/>
  <c r="H93"/>
  <c r="J93"/>
  <c r="K93"/>
  <c r="N93"/>
  <c r="D94"/>
  <c r="F94"/>
  <c r="G94" s="1"/>
  <c r="H94"/>
  <c r="J94"/>
  <c r="K94"/>
  <c r="N94"/>
  <c r="D95"/>
  <c r="F95"/>
  <c r="G95" s="1"/>
  <c r="H95"/>
  <c r="J95"/>
  <c r="K95"/>
  <c r="N95"/>
  <c r="D96"/>
  <c r="F96"/>
  <c r="G96" s="1"/>
  <c r="H96"/>
  <c r="J96"/>
  <c r="K96"/>
  <c r="N96"/>
  <c r="D97"/>
  <c r="F97"/>
  <c r="G97" s="1"/>
  <c r="H97"/>
  <c r="J97"/>
  <c r="K97"/>
  <c r="N97"/>
  <c r="R97"/>
  <c r="D98"/>
  <c r="H98" s="1"/>
  <c r="F98"/>
  <c r="G98"/>
  <c r="J98"/>
  <c r="N98"/>
  <c r="D99"/>
  <c r="H99" s="1"/>
  <c r="F99"/>
  <c r="G99"/>
  <c r="J99"/>
  <c r="K99"/>
  <c r="N99"/>
  <c r="D100"/>
  <c r="H100" s="1"/>
  <c r="F100"/>
  <c r="G100"/>
  <c r="J100"/>
  <c r="K100"/>
  <c r="N100"/>
  <c r="D101"/>
  <c r="F101"/>
  <c r="G101" s="1"/>
  <c r="H101"/>
  <c r="J101"/>
  <c r="K101"/>
  <c r="N101"/>
  <c r="D102"/>
  <c r="F102"/>
  <c r="G102" s="1"/>
  <c r="H102"/>
  <c r="J102"/>
  <c r="K102"/>
  <c r="N102"/>
  <c r="D103"/>
  <c r="F103"/>
  <c r="G103" s="1"/>
  <c r="H103"/>
  <c r="J103"/>
  <c r="K103"/>
  <c r="N103"/>
  <c r="D104"/>
  <c r="F104"/>
  <c r="G104" s="1"/>
  <c r="H104"/>
  <c r="J104"/>
  <c r="K104"/>
  <c r="N104"/>
  <c r="R104"/>
  <c r="D105"/>
  <c r="F105"/>
  <c r="G105" s="1"/>
  <c r="H105"/>
  <c r="J105"/>
  <c r="K105"/>
  <c r="N105"/>
  <c r="D106"/>
  <c r="F106"/>
  <c r="G106"/>
  <c r="H106"/>
  <c r="J106"/>
  <c r="K106"/>
  <c r="D107"/>
  <c r="F107"/>
  <c r="G107" s="1"/>
  <c r="H107"/>
  <c r="J107"/>
  <c r="K107"/>
  <c r="D108"/>
  <c r="J108"/>
  <c r="K108"/>
  <c r="D109"/>
  <c r="J109"/>
  <c r="K109"/>
  <c r="D110"/>
  <c r="J110"/>
  <c r="K110"/>
  <c r="J111"/>
  <c r="J112"/>
  <c r="D113"/>
  <c r="J113"/>
  <c r="K113"/>
  <c r="R113"/>
  <c r="D114"/>
  <c r="J114"/>
  <c r="K114"/>
  <c r="Q114"/>
  <c r="R114"/>
  <c r="D115"/>
  <c r="F115"/>
  <c r="G115" s="1"/>
  <c r="H115"/>
  <c r="J115"/>
  <c r="K115"/>
  <c r="R115"/>
  <c r="D116"/>
  <c r="F116"/>
  <c r="G116"/>
  <c r="H116"/>
  <c r="J116"/>
  <c r="K116"/>
  <c r="R116"/>
  <c r="C117"/>
  <c r="D117"/>
  <c r="F117"/>
  <c r="G117"/>
  <c r="H117"/>
  <c r="J117"/>
  <c r="K117"/>
  <c r="Q117"/>
  <c r="R117" s="1"/>
  <c r="W117"/>
  <c r="C118"/>
  <c r="D118"/>
  <c r="F118"/>
  <c r="G118"/>
  <c r="H118"/>
  <c r="J118"/>
  <c r="K118"/>
  <c r="Q118"/>
  <c r="R118" s="1"/>
  <c r="W118"/>
  <c r="C119"/>
  <c r="D119"/>
  <c r="F119"/>
  <c r="G119"/>
  <c r="H119"/>
  <c r="J119"/>
  <c r="K119"/>
  <c r="Q119"/>
  <c r="R119" s="1"/>
  <c r="W119"/>
  <c r="C120"/>
  <c r="D120"/>
  <c r="F120"/>
  <c r="G120" s="1"/>
  <c r="H120"/>
  <c r="J120"/>
  <c r="K120"/>
  <c r="Q120"/>
  <c r="R120"/>
  <c r="W120"/>
  <c r="C121"/>
  <c r="D121" s="1"/>
  <c r="F121"/>
  <c r="G121" s="1"/>
  <c r="J121"/>
  <c r="Q121"/>
  <c r="R121"/>
  <c r="W121"/>
  <c r="C122"/>
  <c r="D122" s="1"/>
  <c r="F122"/>
  <c r="G122" s="1"/>
  <c r="J122"/>
  <c r="Q122"/>
  <c r="R122"/>
  <c r="W122"/>
  <c r="C123"/>
  <c r="D123" s="1"/>
  <c r="F123"/>
  <c r="G123" s="1"/>
  <c r="J123"/>
  <c r="Q123"/>
  <c r="R123"/>
  <c r="W123"/>
  <c r="C124"/>
  <c r="D124" s="1"/>
  <c r="F124"/>
  <c r="J124"/>
  <c r="Q124"/>
  <c r="R124"/>
  <c r="W124"/>
  <c r="C125"/>
  <c r="D125" s="1"/>
  <c r="F125"/>
  <c r="J125"/>
  <c r="Q125"/>
  <c r="R125"/>
  <c r="W125"/>
  <c r="C126"/>
  <c r="D126" s="1"/>
  <c r="F126"/>
  <c r="J126"/>
  <c r="Q126"/>
  <c r="R126"/>
  <c r="W126"/>
  <c r="C127"/>
  <c r="D127" s="1"/>
  <c r="F127"/>
  <c r="J127"/>
  <c r="Q127"/>
  <c r="R127"/>
  <c r="W127"/>
  <c r="C128"/>
  <c r="D128" s="1"/>
  <c r="F128"/>
  <c r="J128"/>
  <c r="Q128"/>
  <c r="R128"/>
  <c r="W128"/>
  <c r="C129"/>
  <c r="D129" s="1"/>
  <c r="F129"/>
  <c r="J129"/>
  <c r="Q129"/>
  <c r="R129"/>
  <c r="W129"/>
  <c r="C130"/>
  <c r="D130" s="1"/>
  <c r="F130"/>
  <c r="J130"/>
  <c r="Q130"/>
  <c r="R130"/>
  <c r="W130"/>
  <c r="C131"/>
  <c r="D131" s="1"/>
  <c r="F131"/>
  <c r="J131"/>
  <c r="Q131"/>
  <c r="R131"/>
  <c r="W131"/>
  <c r="A132"/>
  <c r="A133" s="1"/>
  <c r="A134" s="1"/>
  <c r="A135" s="1"/>
  <c r="A136" s="1"/>
  <c r="A137" s="1"/>
  <c r="C132"/>
  <c r="D132"/>
  <c r="H132" s="1"/>
  <c r="F132"/>
  <c r="G132"/>
  <c r="J132"/>
  <c r="R132"/>
  <c r="C133"/>
  <c r="D133" s="1"/>
  <c r="K133" s="1"/>
  <c r="J133"/>
  <c r="R133"/>
  <c r="C134"/>
  <c r="D134" s="1"/>
  <c r="K134" s="1"/>
  <c r="J134"/>
  <c r="R134"/>
  <c r="C135"/>
  <c r="D135" s="1"/>
  <c r="K135" s="1"/>
  <c r="J135"/>
  <c r="R135"/>
  <c r="C136"/>
  <c r="D136" s="1"/>
  <c r="K136" s="1"/>
  <c r="J136"/>
  <c r="R136"/>
  <c r="C137"/>
  <c r="D137"/>
  <c r="J137"/>
  <c r="K137"/>
  <c r="R137"/>
  <c r="C138"/>
  <c r="D138" s="1"/>
  <c r="K138" s="1"/>
  <c r="J138"/>
  <c r="C139"/>
  <c r="D139"/>
  <c r="J139"/>
  <c r="K139"/>
  <c r="C140"/>
  <c r="D140"/>
  <c r="J140"/>
  <c r="K140"/>
  <c r="C141"/>
  <c r="D141"/>
  <c r="J141"/>
  <c r="K141"/>
  <c r="C142"/>
  <c r="D142"/>
  <c r="J142"/>
  <c r="K142"/>
  <c r="C143"/>
  <c r="D143"/>
  <c r="J143"/>
  <c r="K143"/>
  <c r="C144"/>
  <c r="D144"/>
  <c r="J144"/>
  <c r="K144"/>
  <c r="C145"/>
  <c r="D145"/>
  <c r="J145"/>
  <c r="K145"/>
  <c r="C146"/>
  <c r="D146"/>
  <c r="J146"/>
  <c r="K146"/>
  <c r="C147"/>
  <c r="D147"/>
  <c r="J147"/>
  <c r="K147"/>
  <c r="C148"/>
  <c r="D148"/>
  <c r="J148"/>
  <c r="K148"/>
  <c r="C149"/>
  <c r="D149"/>
  <c r="J149"/>
  <c r="K149"/>
  <c r="C150"/>
  <c r="D150"/>
  <c r="J150"/>
  <c r="K150"/>
  <c r="C151"/>
  <c r="D151"/>
  <c r="J151"/>
  <c r="K151"/>
  <c r="C152"/>
  <c r="D152"/>
  <c r="J152"/>
  <c r="K152"/>
  <c r="C153"/>
  <c r="D153"/>
  <c r="J153"/>
  <c r="K153"/>
  <c r="C154"/>
  <c r="D154"/>
  <c r="J154"/>
  <c r="K154"/>
  <c r="C155"/>
  <c r="D155"/>
  <c r="J155"/>
  <c r="K155"/>
  <c r="C156"/>
  <c r="D156"/>
  <c r="J156"/>
  <c r="K156"/>
  <c r="C157"/>
  <c r="D157"/>
  <c r="J157"/>
  <c r="K157"/>
  <c r="C158"/>
  <c r="D158"/>
  <c r="J158"/>
  <c r="K158"/>
  <c r="C159"/>
  <c r="D159"/>
  <c r="J159"/>
  <c r="K159"/>
  <c r="C160"/>
  <c r="D160"/>
  <c r="J160"/>
  <c r="K160"/>
  <c r="C161"/>
  <c r="D161"/>
  <c r="J161"/>
  <c r="K161"/>
  <c r="E10" i="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C106"/>
  <c r="D106"/>
  <c r="E106"/>
  <c r="F106"/>
  <c r="G106"/>
  <c r="H106"/>
  <c r="C108"/>
  <c r="D108"/>
  <c r="E108"/>
  <c r="F108"/>
  <c r="G108"/>
  <c r="H108"/>
  <c r="C110"/>
  <c r="D110"/>
  <c r="E110"/>
  <c r="F110"/>
  <c r="G110"/>
  <c r="H110"/>
  <c r="C112"/>
  <c r="D112"/>
  <c r="E112"/>
  <c r="F112"/>
  <c r="G112"/>
  <c r="H112"/>
  <c r="S4" i="2"/>
  <c r="Q5"/>
  <c r="S5"/>
  <c r="Q6"/>
  <c r="S6"/>
  <c r="Q7"/>
  <c r="S7"/>
  <c r="D8"/>
  <c r="Q8"/>
  <c r="S8"/>
  <c r="D9"/>
  <c r="Q9"/>
  <c r="S9"/>
  <c r="D10"/>
  <c r="Q10"/>
  <c r="S10"/>
  <c r="D11"/>
  <c r="Q11"/>
  <c r="S11"/>
  <c r="D12"/>
  <c r="Q12"/>
  <c r="S12"/>
  <c r="D13"/>
  <c r="N13"/>
  <c r="Q13"/>
  <c r="S13"/>
  <c r="D14"/>
  <c r="Q14"/>
  <c r="S14"/>
  <c r="D15"/>
  <c r="Q15"/>
  <c r="S15"/>
  <c r="D16"/>
  <c r="Q16"/>
  <c r="S16"/>
  <c r="D17"/>
  <c r="Q17"/>
  <c r="S17"/>
  <c r="D18"/>
  <c r="Q18"/>
  <c r="S18"/>
  <c r="D19"/>
  <c r="Q19"/>
  <c r="S19"/>
  <c r="D20"/>
  <c r="Q20"/>
  <c r="D21"/>
  <c r="Q21"/>
  <c r="S21"/>
  <c r="D22"/>
  <c r="Q22"/>
  <c r="S22"/>
  <c r="D23"/>
  <c r="Q23"/>
  <c r="S23"/>
  <c r="D24"/>
  <c r="Q24"/>
  <c r="S24"/>
  <c r="D25"/>
  <c r="Q25"/>
  <c r="S25"/>
  <c r="D26"/>
  <c r="Q26"/>
  <c r="S26"/>
  <c r="D27"/>
  <c r="Q27"/>
  <c r="S27"/>
  <c r="D28"/>
  <c r="Q28"/>
  <c r="S28"/>
  <c r="D29"/>
  <c r="Q29"/>
  <c r="S29"/>
  <c r="D30"/>
  <c r="Q30"/>
  <c r="S30"/>
  <c r="D31"/>
  <c r="Q31"/>
  <c r="S31"/>
  <c r="D32"/>
  <c r="Q32"/>
  <c r="D33"/>
  <c r="Q33"/>
  <c r="D34"/>
  <c r="Q34"/>
  <c r="D35"/>
  <c r="Q35"/>
  <c r="D36"/>
  <c r="Q36"/>
  <c r="D37"/>
  <c r="Q37"/>
  <c r="D38"/>
  <c r="Q38"/>
  <c r="S38"/>
  <c r="D39"/>
  <c r="Q39"/>
  <c r="D40"/>
  <c r="Q40"/>
  <c r="D41"/>
  <c r="Q41"/>
  <c r="S41"/>
  <c r="D42"/>
  <c r="Q42"/>
  <c r="S42"/>
  <c r="D43"/>
  <c r="J43"/>
  <c r="Q43"/>
  <c r="S43"/>
  <c r="D44"/>
  <c r="J44"/>
  <c r="Q44"/>
  <c r="S44"/>
  <c r="D45"/>
  <c r="J45"/>
  <c r="Q45"/>
  <c r="S45"/>
  <c r="D46"/>
  <c r="J46"/>
  <c r="Q46"/>
  <c r="S46"/>
  <c r="D47"/>
  <c r="J47"/>
  <c r="Q47"/>
  <c r="S47"/>
  <c r="D48"/>
  <c r="J48"/>
  <c r="Q48"/>
  <c r="S48"/>
  <c r="D49"/>
  <c r="J49"/>
  <c r="Q49"/>
  <c r="S49"/>
  <c r="D50"/>
  <c r="J50"/>
  <c r="Q50"/>
  <c r="S50"/>
  <c r="D51"/>
  <c r="J51"/>
  <c r="Q51"/>
  <c r="S51"/>
  <c r="D52"/>
  <c r="J52"/>
  <c r="Q52"/>
  <c r="S52"/>
  <c r="D53"/>
  <c r="J53"/>
  <c r="Q53"/>
  <c r="S53"/>
  <c r="D54"/>
  <c r="J54"/>
  <c r="Q54"/>
  <c r="S54"/>
  <c r="D55"/>
  <c r="J55"/>
  <c r="Q55"/>
  <c r="S55"/>
  <c r="D56"/>
  <c r="J56"/>
  <c r="Q56"/>
  <c r="S56"/>
  <c r="D57"/>
  <c r="J57"/>
  <c r="Q57"/>
  <c r="S57"/>
  <c r="D58"/>
  <c r="J58"/>
  <c r="Q58"/>
  <c r="S58"/>
  <c r="D59"/>
  <c r="J59"/>
  <c r="Q59"/>
  <c r="S59"/>
  <c r="D60"/>
  <c r="J60"/>
  <c r="Q60"/>
  <c r="S60"/>
  <c r="D61"/>
  <c r="J61"/>
  <c r="Q61"/>
  <c r="S61"/>
  <c r="D62"/>
  <c r="J62"/>
  <c r="Q62"/>
  <c r="S62"/>
  <c r="D63"/>
  <c r="J63"/>
  <c r="Q63"/>
  <c r="S63"/>
  <c r="D64"/>
  <c r="J64"/>
  <c r="Q64"/>
  <c r="S64"/>
  <c r="D65"/>
  <c r="J65"/>
  <c r="Q65"/>
  <c r="S65"/>
  <c r="D66"/>
  <c r="G66"/>
  <c r="J66"/>
  <c r="Q66"/>
  <c r="S66"/>
  <c r="D67"/>
  <c r="F67"/>
  <c r="G67" s="1"/>
  <c r="J67"/>
  <c r="Q67"/>
  <c r="S67"/>
  <c r="D68"/>
  <c r="F68"/>
  <c r="G68" s="1"/>
  <c r="J68"/>
  <c r="Q68"/>
  <c r="S68"/>
  <c r="D69"/>
  <c r="F69"/>
  <c r="G69" s="1"/>
  <c r="J69"/>
  <c r="Q69"/>
  <c r="S69"/>
  <c r="D70"/>
  <c r="F70"/>
  <c r="G70" s="1"/>
  <c r="J70"/>
  <c r="Q70"/>
  <c r="S70"/>
  <c r="D71"/>
  <c r="F71"/>
  <c r="G71" s="1"/>
  <c r="J71"/>
  <c r="Q71"/>
  <c r="S71"/>
  <c r="D72"/>
  <c r="F72"/>
  <c r="G72" s="1"/>
  <c r="J72"/>
  <c r="Q72"/>
  <c r="S72"/>
  <c r="D73"/>
  <c r="F73"/>
  <c r="G73" s="1"/>
  <c r="J73"/>
  <c r="Q73"/>
  <c r="S73"/>
  <c r="D74"/>
  <c r="F74"/>
  <c r="G74" s="1"/>
  <c r="J74"/>
  <c r="Q74"/>
  <c r="S74"/>
  <c r="D75"/>
  <c r="F75"/>
  <c r="G75" s="1"/>
  <c r="J75"/>
  <c r="Q75"/>
  <c r="S75"/>
  <c r="D76"/>
  <c r="G76"/>
  <c r="J76"/>
  <c r="Q76"/>
  <c r="S76"/>
  <c r="D77"/>
  <c r="F77"/>
  <c r="G77"/>
  <c r="J77"/>
  <c r="Q77"/>
  <c r="S77"/>
  <c r="D78"/>
  <c r="F78"/>
  <c r="G78"/>
  <c r="J78"/>
  <c r="Q78"/>
  <c r="S78"/>
  <c r="D79"/>
  <c r="F79"/>
  <c r="G79"/>
  <c r="J79"/>
  <c r="Q79"/>
  <c r="S79"/>
  <c r="D80"/>
  <c r="F80"/>
  <c r="G80"/>
  <c r="J80"/>
  <c r="Q80"/>
  <c r="S80"/>
  <c r="D81"/>
  <c r="F81"/>
  <c r="G81"/>
  <c r="J81"/>
  <c r="Q81"/>
  <c r="S81"/>
  <c r="D82"/>
  <c r="F82"/>
  <c r="G82"/>
  <c r="J82"/>
  <c r="Q82"/>
  <c r="S82"/>
  <c r="D83"/>
  <c r="F83"/>
  <c r="G83"/>
  <c r="J83"/>
  <c r="Q83"/>
  <c r="S83"/>
  <c r="D84"/>
  <c r="F84"/>
  <c r="G84"/>
  <c r="J84"/>
  <c r="Q84"/>
  <c r="S84"/>
  <c r="D85"/>
  <c r="F85"/>
  <c r="G85"/>
  <c r="J85"/>
  <c r="Q85"/>
  <c r="S85"/>
  <c r="D86"/>
  <c r="G86"/>
  <c r="J86"/>
  <c r="Q86"/>
  <c r="S86"/>
  <c r="D87"/>
  <c r="F87"/>
  <c r="G87" s="1"/>
  <c r="J87"/>
  <c r="Q87"/>
  <c r="S87"/>
  <c r="D88"/>
  <c r="F88"/>
  <c r="G88" s="1"/>
  <c r="J88"/>
  <c r="Q88"/>
  <c r="S88"/>
  <c r="D89"/>
  <c r="F89"/>
  <c r="G89" s="1"/>
  <c r="J89"/>
  <c r="Q89"/>
  <c r="S89"/>
  <c r="D90"/>
  <c r="F90"/>
  <c r="G90" s="1"/>
  <c r="J90"/>
  <c r="Q90"/>
  <c r="S90"/>
  <c r="D91"/>
  <c r="F91"/>
  <c r="G91" s="1"/>
  <c r="J91"/>
  <c r="Q91"/>
  <c r="S91"/>
  <c r="D92"/>
  <c r="F92"/>
  <c r="G92" s="1"/>
  <c r="Q92"/>
  <c r="S92"/>
  <c r="D93"/>
  <c r="F93"/>
  <c r="G93" s="1"/>
  <c r="Q93"/>
  <c r="S93"/>
  <c r="D94"/>
  <c r="F94"/>
  <c r="G94" s="1"/>
  <c r="I94"/>
  <c r="J94" s="1"/>
  <c r="Q94"/>
  <c r="S94"/>
  <c r="D95"/>
  <c r="I95"/>
  <c r="Q95"/>
  <c r="S95"/>
  <c r="D96"/>
  <c r="G96"/>
  <c r="I96"/>
  <c r="Q96"/>
  <c r="S96"/>
  <c r="D97"/>
  <c r="F97"/>
  <c r="G97" s="1"/>
  <c r="I97"/>
  <c r="J97" s="1"/>
  <c r="Q97"/>
  <c r="S97"/>
  <c r="D98"/>
  <c r="I98"/>
  <c r="Q98"/>
  <c r="S98"/>
  <c r="D99"/>
  <c r="I99"/>
  <c r="J101" s="1"/>
  <c r="Q99"/>
  <c r="S99"/>
  <c r="D100"/>
  <c r="I100"/>
  <c r="Q100"/>
  <c r="S100"/>
  <c r="D101"/>
  <c r="I101"/>
  <c r="J103" s="1"/>
  <c r="Q101"/>
  <c r="S101"/>
  <c r="D102"/>
  <c r="I102"/>
  <c r="Q102"/>
  <c r="S102"/>
  <c r="D103"/>
  <c r="I103"/>
  <c r="J102" s="1"/>
  <c r="Q103"/>
  <c r="S103"/>
  <c r="D104"/>
  <c r="I104"/>
  <c r="J104"/>
  <c r="Q104"/>
  <c r="S104"/>
  <c r="D105"/>
  <c r="Q105"/>
  <c r="D106"/>
  <c r="G106"/>
  <c r="Q106"/>
  <c r="D107"/>
  <c r="Q107"/>
  <c r="D108"/>
  <c r="Q108"/>
  <c r="D109"/>
  <c r="Q109"/>
  <c r="D110"/>
  <c r="Q110"/>
  <c r="D111"/>
  <c r="Q111"/>
  <c r="V111"/>
  <c r="N13" i="27" l="1"/>
  <c r="M13"/>
  <c r="M11"/>
  <c r="N11"/>
  <c r="M7"/>
  <c r="N7"/>
  <c r="L15"/>
  <c r="E81"/>
  <c r="F82" s="1"/>
  <c r="E82" s="1"/>
  <c r="F83" s="1"/>
  <c r="E83" s="1"/>
  <c r="F84" s="1"/>
  <c r="E84" s="1"/>
  <c r="F85" s="1"/>
  <c r="E85" s="1"/>
  <c r="F86" s="1"/>
  <c r="E86" s="1"/>
  <c r="F87" s="1"/>
  <c r="E87" s="1"/>
  <c r="F88" s="1"/>
  <c r="E88" s="1"/>
  <c r="F89" s="1"/>
  <c r="E89" s="1"/>
  <c r="F90" s="1"/>
  <c r="E90" s="1"/>
  <c r="F91" s="1"/>
  <c r="E91" s="1"/>
  <c r="F92" s="1"/>
  <c r="E92" s="1"/>
  <c r="F93" s="1"/>
  <c r="E93" s="1"/>
  <c r="F94" s="1"/>
  <c r="E94" s="1"/>
  <c r="M12"/>
  <c r="N12"/>
  <c r="M8"/>
  <c r="N8"/>
  <c r="M6"/>
  <c r="N6"/>
  <c r="G41"/>
  <c r="L16"/>
  <c r="I50"/>
  <c r="J51" s="1"/>
  <c r="I51" s="1"/>
  <c r="J52" s="1"/>
  <c r="I52" s="1"/>
  <c r="J53" s="1"/>
  <c r="I53" s="1"/>
  <c r="J54" s="1"/>
  <c r="I54" s="1"/>
  <c r="J55" s="1"/>
  <c r="I55" s="1"/>
  <c r="J56" s="1"/>
  <c r="I56" s="1"/>
  <c r="J57" s="1"/>
  <c r="I57" s="1"/>
  <c r="J58" s="1"/>
  <c r="I58" s="1"/>
  <c r="J59" s="1"/>
  <c r="I59" s="1"/>
  <c r="J60" s="1"/>
  <c r="I60" s="1"/>
  <c r="J61" s="1"/>
  <c r="I61" s="1"/>
  <c r="J62" s="1"/>
  <c r="I62" s="1"/>
  <c r="J63" s="1"/>
  <c r="I63" s="1"/>
  <c r="J64" s="1"/>
  <c r="I64" s="1"/>
  <c r="J65" s="1"/>
  <c r="I65" s="1"/>
  <c r="J66" s="1"/>
  <c r="I66" s="1"/>
  <c r="J67" s="1"/>
  <c r="I67" s="1"/>
  <c r="J68" s="1"/>
  <c r="I68" s="1"/>
  <c r="J69" s="1"/>
  <c r="I69" s="1"/>
  <c r="J70" s="1"/>
  <c r="I70" s="1"/>
  <c r="J71" s="1"/>
  <c r="I71" s="1"/>
  <c r="J72" s="1"/>
  <c r="I72" s="1"/>
  <c r="J73" s="1"/>
  <c r="I73" s="1"/>
  <c r="J74" s="1"/>
  <c r="I74" s="1"/>
  <c r="J75" s="1"/>
  <c r="I75" s="1"/>
  <c r="J76" s="1"/>
  <c r="I76" s="1"/>
  <c r="J77" s="1"/>
  <c r="I77" s="1"/>
  <c r="J78" s="1"/>
  <c r="I78" s="1"/>
  <c r="J79" s="1"/>
  <c r="I79" s="1"/>
  <c r="J80" s="1"/>
  <c r="I80" s="1"/>
  <c r="J81" s="1"/>
  <c r="I81" s="1"/>
  <c r="J82" s="1"/>
  <c r="I82" s="1"/>
  <c r="J83" s="1"/>
  <c r="I83" s="1"/>
  <c r="J84" s="1"/>
  <c r="I84" s="1"/>
  <c r="J85" s="1"/>
  <c r="I85" s="1"/>
  <c r="J86" s="1"/>
  <c r="I86" s="1"/>
  <c r="J87" s="1"/>
  <c r="I87" s="1"/>
  <c r="J88" s="1"/>
  <c r="I88" s="1"/>
  <c r="J89" s="1"/>
  <c r="I89" s="1"/>
  <c r="J90" s="1"/>
  <c r="I90" s="1"/>
  <c r="J91" s="1"/>
  <c r="I91" s="1"/>
  <c r="J92" s="1"/>
  <c r="I92" s="1"/>
  <c r="J93" s="1"/>
  <c r="I93" s="1"/>
  <c r="J94" s="1"/>
  <c r="I94" s="1"/>
  <c r="I48"/>
  <c r="J49" s="1"/>
  <c r="I49" s="1"/>
  <c r="J50" s="1"/>
  <c r="L38"/>
  <c r="L37"/>
  <c r="L36"/>
  <c r="L35"/>
  <c r="L34"/>
  <c r="L33"/>
  <c r="L32"/>
  <c r="L31"/>
  <c r="L30"/>
  <c r="L29"/>
  <c r="L28"/>
  <c r="L27"/>
  <c r="L26"/>
  <c r="L25"/>
  <c r="L24"/>
  <c r="E59" i="25"/>
  <c r="I286" i="24"/>
  <c r="L286"/>
  <c r="D287"/>
  <c r="I284"/>
  <c r="L284"/>
  <c r="I282"/>
  <c r="L282"/>
  <c r="I280"/>
  <c r="L280"/>
  <c r="I278"/>
  <c r="L278"/>
  <c r="I276"/>
  <c r="L276"/>
  <c r="I274"/>
  <c r="L274"/>
  <c r="I272"/>
  <c r="L272"/>
  <c r="I270"/>
  <c r="L270"/>
  <c r="I268"/>
  <c r="L268"/>
  <c r="I266"/>
  <c r="L266"/>
  <c r="I264"/>
  <c r="L264"/>
  <c r="I262"/>
  <c r="L262"/>
  <c r="I260"/>
  <c r="L260"/>
  <c r="I258"/>
  <c r="L258"/>
  <c r="I256"/>
  <c r="L256"/>
  <c r="I254"/>
  <c r="L254"/>
  <c r="I252"/>
  <c r="L252"/>
  <c r="I250"/>
  <c r="L250"/>
  <c r="I248"/>
  <c r="L248"/>
  <c r="I246"/>
  <c r="L246"/>
  <c r="I244"/>
  <c r="L244"/>
  <c r="I242"/>
  <c r="L242"/>
  <c r="I240"/>
  <c r="L240"/>
  <c r="I238"/>
  <c r="L238"/>
  <c r="G236"/>
  <c r="F237"/>
  <c r="V18" i="22"/>
  <c r="X18"/>
  <c r="AA18"/>
  <c r="U18"/>
  <c r="W18"/>
  <c r="AL18"/>
  <c r="T19"/>
  <c r="Z20"/>
  <c r="AA19"/>
  <c r="Q14"/>
  <c r="N15"/>
  <c r="S19"/>
  <c r="P20"/>
  <c r="R20" s="1"/>
  <c r="P17"/>
  <c r="AL19"/>
  <c r="W19"/>
  <c r="N16"/>
  <c r="O15"/>
  <c r="O10"/>
  <c r="O5"/>
  <c r="O4"/>
  <c r="R19" i="21"/>
  <c r="P20"/>
  <c r="Q16"/>
  <c r="N17"/>
  <c r="R17"/>
  <c r="O37"/>
  <c r="O36"/>
  <c r="O35"/>
  <c r="O34"/>
  <c r="O33"/>
  <c r="O32"/>
  <c r="O31"/>
  <c r="O29"/>
  <c r="O27"/>
  <c r="O25"/>
  <c r="O20"/>
  <c r="Y18"/>
  <c r="V22" i="18"/>
  <c r="W22" s="1"/>
  <c r="V20"/>
  <c r="W20" s="1"/>
  <c r="V18"/>
  <c r="W18" s="1"/>
  <c r="V16"/>
  <c r="W16" s="1"/>
  <c r="V14"/>
  <c r="W14" s="1"/>
  <c r="V12"/>
  <c r="W12" s="1"/>
  <c r="H12" i="15"/>
  <c r="F13"/>
  <c r="I243" i="14"/>
  <c r="L243"/>
  <c r="D244"/>
  <c r="B9"/>
  <c r="F244"/>
  <c r="E108" i="13"/>
  <c r="E104"/>
  <c r="E103"/>
  <c r="E99"/>
  <c r="E94"/>
  <c r="E92"/>
  <c r="E90"/>
  <c r="E68"/>
  <c r="A62"/>
  <c r="H69"/>
  <c r="I70"/>
  <c r="O71"/>
  <c r="K72"/>
  <c r="B62"/>
  <c r="L73"/>
  <c r="M74"/>
  <c r="R74"/>
  <c r="S75"/>
  <c r="U77"/>
  <c r="E107"/>
  <c r="E100"/>
  <c r="E98"/>
  <c r="E96"/>
  <c r="E95"/>
  <c r="E93"/>
  <c r="F109"/>
  <c r="E109" s="1"/>
  <c r="F106"/>
  <c r="E106" s="1"/>
  <c r="F105"/>
  <c r="E105" s="1"/>
  <c r="G104"/>
  <c r="F102"/>
  <c r="E102" s="1"/>
  <c r="F101"/>
  <c r="E101" s="1"/>
  <c r="G100"/>
  <c r="G99"/>
  <c r="G98"/>
  <c r="F97"/>
  <c r="E97" s="1"/>
  <c r="G96"/>
  <c r="F94"/>
  <c r="G92"/>
  <c r="F91"/>
  <c r="E91" s="1"/>
  <c r="G90"/>
  <c r="G68"/>
  <c r="V103" i="11"/>
  <c r="W103"/>
  <c r="W102"/>
  <c r="V102"/>
  <c r="V101"/>
  <c r="W101"/>
  <c r="W100"/>
  <c r="V100"/>
  <c r="V99"/>
  <c r="W99"/>
  <c r="V93"/>
  <c r="W93"/>
  <c r="W92"/>
  <c r="V92"/>
  <c r="V91"/>
  <c r="W91"/>
  <c r="V88"/>
  <c r="W88"/>
  <c r="V86"/>
  <c r="W86"/>
  <c r="W85"/>
  <c r="V85"/>
  <c r="W74"/>
  <c r="V74"/>
  <c r="W68"/>
  <c r="V68"/>
  <c r="W66"/>
  <c r="V66"/>
  <c r="W64"/>
  <c r="V64"/>
  <c r="W62"/>
  <c r="V62"/>
  <c r="W60"/>
  <c r="V60"/>
  <c r="W52"/>
  <c r="V52"/>
  <c r="W46"/>
  <c r="V46"/>
  <c r="W44"/>
  <c r="V44"/>
  <c r="W42"/>
  <c r="V42"/>
  <c r="W40"/>
  <c r="V40"/>
  <c r="W38"/>
  <c r="V38"/>
  <c r="W36"/>
  <c r="V36"/>
  <c r="V29"/>
  <c r="W29"/>
  <c r="V21"/>
  <c r="W21"/>
  <c r="V20"/>
  <c r="W20"/>
  <c r="V19"/>
  <c r="W19"/>
  <c r="S8"/>
  <c r="W8" s="1"/>
  <c r="Q8"/>
  <c r="V9"/>
  <c r="W108"/>
  <c r="V108"/>
  <c r="W106"/>
  <c r="V106"/>
  <c r="V105"/>
  <c r="W105"/>
  <c r="V97"/>
  <c r="W97"/>
  <c r="W96"/>
  <c r="V96"/>
  <c r="V95"/>
  <c r="W95"/>
  <c r="V90"/>
  <c r="W90"/>
  <c r="V87"/>
  <c r="W87"/>
  <c r="W83"/>
  <c r="V83"/>
  <c r="W75"/>
  <c r="V75"/>
  <c r="W71"/>
  <c r="V71"/>
  <c r="W61"/>
  <c r="V61"/>
  <c r="W59"/>
  <c r="V59"/>
  <c r="W55"/>
  <c r="V55"/>
  <c r="W53"/>
  <c r="V53"/>
  <c r="W50"/>
  <c r="V50"/>
  <c r="V49"/>
  <c r="W49"/>
  <c r="W48"/>
  <c r="V48"/>
  <c r="V31"/>
  <c r="W31"/>
  <c r="V8"/>
  <c r="F6"/>
  <c r="J6"/>
  <c r="K6" s="1"/>
  <c r="F3"/>
  <c r="F23" s="1"/>
  <c r="X10"/>
  <c r="X9"/>
  <c r="X8"/>
  <c r="K17" i="8"/>
  <c r="B16"/>
  <c r="J17"/>
  <c r="D21"/>
  <c r="C43" i="7"/>
  <c r="D43"/>
  <c r="B44"/>
  <c r="B18"/>
  <c r="E19"/>
  <c r="F19" s="1"/>
  <c r="D19"/>
  <c r="L13"/>
  <c r="O14"/>
  <c r="P14" s="1"/>
  <c r="N14"/>
  <c r="B28" i="6"/>
  <c r="C6"/>
  <c r="H4"/>
  <c r="I4" s="1"/>
  <c r="J5" s="1"/>
  <c r="F18" i="5"/>
  <c r="D19"/>
  <c r="H19"/>
  <c r="C19" s="1"/>
  <c r="I19"/>
  <c r="J19" s="1"/>
  <c r="B19" s="1"/>
  <c r="B21"/>
  <c r="H43"/>
  <c r="C43" s="1"/>
  <c r="D43"/>
  <c r="G43"/>
  <c r="F44" s="1"/>
  <c r="R14"/>
  <c r="P13"/>
  <c r="S14"/>
  <c r="T14" s="1"/>
  <c r="C20"/>
  <c r="B16"/>
  <c r="H22"/>
  <c r="C22" s="1"/>
  <c r="T21"/>
  <c r="D20"/>
  <c r="H131" i="4"/>
  <c r="K131"/>
  <c r="H130"/>
  <c r="K130"/>
  <c r="H129"/>
  <c r="K129"/>
  <c r="H128"/>
  <c r="K128"/>
  <c r="H127"/>
  <c r="K127"/>
  <c r="H126"/>
  <c r="K126"/>
  <c r="H125"/>
  <c r="K125"/>
  <c r="H124"/>
  <c r="K124"/>
  <c r="H123"/>
  <c r="K123"/>
  <c r="H122"/>
  <c r="K122"/>
  <c r="H121"/>
  <c r="K121"/>
  <c r="H88"/>
  <c r="K88"/>
  <c r="K132"/>
  <c r="G131"/>
  <c r="G130"/>
  <c r="G129"/>
  <c r="G128"/>
  <c r="G127"/>
  <c r="G126"/>
  <c r="G125"/>
  <c r="G124"/>
  <c r="K98"/>
  <c r="G19"/>
  <c r="J100" i="2"/>
  <c r="J98"/>
  <c r="J96"/>
  <c r="J95"/>
  <c r="J93"/>
  <c r="J92"/>
  <c r="J99"/>
  <c r="F98"/>
  <c r="F95"/>
  <c r="G95" s="1"/>
  <c r="D112"/>
  <c r="Q112"/>
  <c r="V112"/>
  <c r="E60" i="25" l="1"/>
  <c r="D59"/>
  <c r="H237" i="24"/>
  <c r="G237"/>
  <c r="F238"/>
  <c r="D288"/>
  <c r="I287"/>
  <c r="L287"/>
  <c r="P16" i="22"/>
  <c r="R17"/>
  <c r="S20"/>
  <c r="T20" s="1"/>
  <c r="U20"/>
  <c r="W20"/>
  <c r="V20"/>
  <c r="X20"/>
  <c r="AL20"/>
  <c r="Q13"/>
  <c r="N14"/>
  <c r="T17" i="21"/>
  <c r="X17"/>
  <c r="Z17"/>
  <c r="AM17"/>
  <c r="V18"/>
  <c r="Q15"/>
  <c r="N16"/>
  <c r="R16"/>
  <c r="R20"/>
  <c r="P21"/>
  <c r="W17"/>
  <c r="Y17"/>
  <c r="S19"/>
  <c r="S18" s="1"/>
  <c r="S17" s="1"/>
  <c r="S16" s="1"/>
  <c r="S15" s="1"/>
  <c r="S14" s="1"/>
  <c r="S13" s="1"/>
  <c r="S12" s="1"/>
  <c r="S11" s="1"/>
  <c r="S10" s="1"/>
  <c r="S9" s="1"/>
  <c r="S8" s="1"/>
  <c r="S7" s="1"/>
  <c r="S6" s="1"/>
  <c r="S5" s="1"/>
  <c r="S4" s="1"/>
  <c r="U19"/>
  <c r="V19" s="1"/>
  <c r="W19"/>
  <c r="Y19"/>
  <c r="T19"/>
  <c r="X19"/>
  <c r="Z19"/>
  <c r="AM19"/>
  <c r="U18"/>
  <c r="H13" i="15"/>
  <c r="F14"/>
  <c r="H244" i="14"/>
  <c r="G244"/>
  <c r="F245"/>
  <c r="D245"/>
  <c r="I244"/>
  <c r="L244"/>
  <c r="B8"/>
  <c r="K9"/>
  <c r="L9" s="1"/>
  <c r="M9" s="1"/>
  <c r="N9" s="1"/>
  <c r="O9" s="1"/>
  <c r="J9"/>
  <c r="A63" i="13"/>
  <c r="I71"/>
  <c r="O72"/>
  <c r="K73"/>
  <c r="L74"/>
  <c r="M75"/>
  <c r="R75"/>
  <c r="S76"/>
  <c r="U78"/>
  <c r="B63"/>
  <c r="H70"/>
  <c r="F69"/>
  <c r="E69" s="1"/>
  <c r="G69"/>
  <c r="F21" i="11"/>
  <c r="F29"/>
  <c r="F4"/>
  <c r="F5"/>
  <c r="F7"/>
  <c r="F9"/>
  <c r="F10"/>
  <c r="F11"/>
  <c r="F12"/>
  <c r="F13"/>
  <c r="F14"/>
  <c r="F15"/>
  <c r="F16"/>
  <c r="F17"/>
  <c r="F18"/>
  <c r="F24"/>
  <c r="F25"/>
  <c r="F26"/>
  <c r="F27"/>
  <c r="F28"/>
  <c r="F30"/>
  <c r="F31"/>
  <c r="F32"/>
  <c r="F33"/>
  <c r="F34"/>
  <c r="F35"/>
  <c r="F20"/>
  <c r="J20" s="1"/>
  <c r="K20" s="1"/>
  <c r="F8"/>
  <c r="F19"/>
  <c r="F22"/>
  <c r="J21" i="8"/>
  <c r="D22"/>
  <c r="B15"/>
  <c r="J16"/>
  <c r="K16"/>
  <c r="L12" i="7"/>
  <c r="O13"/>
  <c r="P13" s="1"/>
  <c r="N13"/>
  <c r="C44"/>
  <c r="D44"/>
  <c r="B45"/>
  <c r="B17"/>
  <c r="E18"/>
  <c r="F18" s="1"/>
  <c r="D18"/>
  <c r="E5" i="6"/>
  <c r="D5"/>
  <c r="C7"/>
  <c r="B29"/>
  <c r="H44" i="5"/>
  <c r="C44" s="1"/>
  <c r="D44"/>
  <c r="G44"/>
  <c r="F45" s="1"/>
  <c r="R13"/>
  <c r="P12"/>
  <c r="S13"/>
  <c r="I18"/>
  <c r="J18" s="1"/>
  <c r="B18" s="1"/>
  <c r="F17"/>
  <c r="D18"/>
  <c r="H18"/>
  <c r="C18" s="1"/>
  <c r="B14"/>
  <c r="G98" i="2"/>
  <c r="F99"/>
  <c r="D113"/>
  <c r="Q113"/>
  <c r="D114"/>
  <c r="Q114"/>
  <c r="D115"/>
  <c r="Q115"/>
  <c r="B116"/>
  <c r="D117"/>
  <c r="Q117"/>
  <c r="D118"/>
  <c r="Q118"/>
  <c r="D119"/>
  <c r="Q119"/>
  <c r="D120"/>
  <c r="Q120"/>
  <c r="D121"/>
  <c r="Q121"/>
  <c r="D122"/>
  <c r="Q122"/>
  <c r="D123"/>
  <c r="Q123"/>
  <c r="D124"/>
  <c r="Q124"/>
  <c r="D125"/>
  <c r="Q125"/>
  <c r="D126"/>
  <c r="Q126"/>
  <c r="D127"/>
  <c r="Q127"/>
  <c r="D128"/>
  <c r="Q128"/>
  <c r="D129"/>
  <c r="Q129"/>
  <c r="D130"/>
  <c r="Q130"/>
  <c r="D131"/>
  <c r="Q131"/>
  <c r="D132"/>
  <c r="Q132"/>
  <c r="D133"/>
  <c r="Q133"/>
  <c r="D134"/>
  <c r="Q134"/>
  <c r="D135"/>
  <c r="Q135"/>
  <c r="D136"/>
  <c r="Q136"/>
  <c r="D137"/>
  <c r="Q137"/>
  <c r="D138"/>
  <c r="Q138"/>
  <c r="D139"/>
  <c r="Q139"/>
  <c r="D140"/>
  <c r="Q140"/>
  <c r="D141"/>
  <c r="Q141"/>
  <c r="D142"/>
  <c r="Q142"/>
  <c r="D143"/>
  <c r="Q143"/>
  <c r="D144"/>
  <c r="Q144"/>
  <c r="D145"/>
  <c r="Q145"/>
  <c r="D146"/>
  <c r="Q146"/>
  <c r="D147"/>
  <c r="Q147"/>
  <c r="Q148"/>
  <c r="Q149"/>
  <c r="Q150"/>
  <c r="Q151"/>
  <c r="Q152"/>
  <c r="Q153"/>
  <c r="Q154"/>
  <c r="Q155"/>
  <c r="Q156"/>
  <c r="Q157"/>
  <c r="Q158"/>
  <c r="Q159"/>
  <c r="C160"/>
  <c r="Q160"/>
  <c r="Q161"/>
  <c r="J85" i="1"/>
  <c r="I85"/>
  <c r="H85"/>
  <c r="G85"/>
  <c r="F85"/>
  <c r="E85"/>
  <c r="D85"/>
  <c r="J84"/>
  <c r="I84"/>
  <c r="H84"/>
  <c r="G84"/>
  <c r="F84"/>
  <c r="E84"/>
  <c r="D84"/>
  <c r="J83"/>
  <c r="I83"/>
  <c r="H83"/>
  <c r="G83"/>
  <c r="F83"/>
  <c r="E83"/>
  <c r="D83"/>
  <c r="J82"/>
  <c r="I82"/>
  <c r="H82"/>
  <c r="G82"/>
  <c r="F82"/>
  <c r="E82"/>
  <c r="D82"/>
  <c r="J80"/>
  <c r="I80"/>
  <c r="H80"/>
  <c r="G80"/>
  <c r="F80"/>
  <c r="E80"/>
  <c r="D80"/>
  <c r="J79"/>
  <c r="I79"/>
  <c r="H79"/>
  <c r="G79"/>
  <c r="F79"/>
  <c r="E79"/>
  <c r="D79"/>
  <c r="J78"/>
  <c r="I78"/>
  <c r="H78"/>
  <c r="G78"/>
  <c r="F78"/>
  <c r="E78"/>
  <c r="D78"/>
  <c r="J77"/>
  <c r="I77"/>
  <c r="H77"/>
  <c r="G77"/>
  <c r="F77"/>
  <c r="E77"/>
  <c r="D77"/>
  <c r="I76"/>
  <c r="H76"/>
  <c r="G76"/>
  <c r="F76"/>
  <c r="E76"/>
  <c r="D76"/>
  <c r="H75"/>
  <c r="G75"/>
  <c r="F75"/>
  <c r="E75"/>
  <c r="D75"/>
  <c r="I50"/>
  <c r="H51" s="1"/>
  <c r="G50"/>
  <c r="F51" s="1"/>
  <c r="E50"/>
  <c r="D51" s="1"/>
  <c r="C50"/>
  <c r="B51" s="1"/>
  <c r="A38"/>
  <c r="A39" s="1"/>
  <c r="A40" s="1"/>
  <c r="A41" s="1"/>
  <c r="A42" s="1"/>
  <c r="A43" s="1"/>
  <c r="A44" s="1"/>
  <c r="A45" s="1"/>
  <c r="H5"/>
  <c r="I5" s="1"/>
  <c r="D5"/>
  <c r="E5" s="1"/>
  <c r="I4"/>
  <c r="G4"/>
  <c r="F5" s="1"/>
  <c r="E4"/>
  <c r="C4"/>
  <c r="B5" s="1"/>
  <c r="D60" i="25" l="1"/>
  <c r="E61"/>
  <c r="G238" i="24"/>
  <c r="F239"/>
  <c r="H238"/>
  <c r="I288"/>
  <c r="L288"/>
  <c r="D289"/>
  <c r="P15" i="22"/>
  <c r="R16"/>
  <c r="N13"/>
  <c r="Q12"/>
  <c r="S17"/>
  <c r="AL17"/>
  <c r="T17"/>
  <c r="V17"/>
  <c r="X17"/>
  <c r="AA17"/>
  <c r="W17"/>
  <c r="T18"/>
  <c r="S18"/>
  <c r="U17"/>
  <c r="U20" i="21"/>
  <c r="X20"/>
  <c r="Z20"/>
  <c r="W20"/>
  <c r="Y20"/>
  <c r="W16"/>
  <c r="Y16"/>
  <c r="P22"/>
  <c r="R21"/>
  <c r="T16"/>
  <c r="X16"/>
  <c r="Z16"/>
  <c r="AM16"/>
  <c r="Q14"/>
  <c r="N15"/>
  <c r="R15"/>
  <c r="U17"/>
  <c r="V17"/>
  <c r="H14" i="15"/>
  <c r="F15"/>
  <c r="T9" i="14"/>
  <c r="Q10"/>
  <c r="K8"/>
  <c r="L8" s="1"/>
  <c r="M8" s="1"/>
  <c r="N8" s="1"/>
  <c r="O8" s="1"/>
  <c r="B7"/>
  <c r="J8"/>
  <c r="G245"/>
  <c r="F246"/>
  <c r="H245"/>
  <c r="I245"/>
  <c r="L245"/>
  <c r="D246"/>
  <c r="A64" i="13"/>
  <c r="S77"/>
  <c r="B64"/>
  <c r="H71"/>
  <c r="I72"/>
  <c r="O73"/>
  <c r="K74"/>
  <c r="L75"/>
  <c r="M76"/>
  <c r="R76"/>
  <c r="U79"/>
  <c r="G70"/>
  <c r="F70"/>
  <c r="E70" s="1"/>
  <c r="J7" i="11"/>
  <c r="K7" s="1"/>
  <c r="B14" i="8"/>
  <c r="K15"/>
  <c r="J15"/>
  <c r="J22"/>
  <c r="D23"/>
  <c r="C45" i="7"/>
  <c r="D45"/>
  <c r="B46"/>
  <c r="E17"/>
  <c r="F17" s="1"/>
  <c r="C16"/>
  <c r="B16" s="1"/>
  <c r="D17"/>
  <c r="L11"/>
  <c r="O12"/>
  <c r="P12" s="1"/>
  <c r="N12"/>
  <c r="B30" i="6"/>
  <c r="G5"/>
  <c r="L5"/>
  <c r="F5"/>
  <c r="H5"/>
  <c r="I5" s="1"/>
  <c r="J6" s="1"/>
  <c r="C8"/>
  <c r="H45" i="5"/>
  <c r="C45" s="1"/>
  <c r="D45"/>
  <c r="G45"/>
  <c r="F46" s="1"/>
  <c r="D17"/>
  <c r="H17"/>
  <c r="C17" s="1"/>
  <c r="G16"/>
  <c r="F16" s="1"/>
  <c r="I17"/>
  <c r="J17" s="1"/>
  <c r="B17" s="1"/>
  <c r="T13"/>
  <c r="B13"/>
  <c r="R12"/>
  <c r="P11"/>
  <c r="S12"/>
  <c r="G99" i="2"/>
  <c r="F100"/>
  <c r="C51" i="1"/>
  <c r="B52" s="1"/>
  <c r="G51"/>
  <c r="F52"/>
  <c r="C5"/>
  <c r="B6"/>
  <c r="G5"/>
  <c r="F6"/>
  <c r="E51"/>
  <c r="D52"/>
  <c r="I51"/>
  <c r="H52"/>
  <c r="D6"/>
  <c r="H6"/>
  <c r="D61" i="25" l="1"/>
  <c r="E62"/>
  <c r="D290" i="24"/>
  <c r="I289"/>
  <c r="L289"/>
  <c r="H239"/>
  <c r="G239"/>
  <c r="F240"/>
  <c r="Q11" i="22"/>
  <c r="N12"/>
  <c r="P14"/>
  <c r="R15"/>
  <c r="V16"/>
  <c r="X16"/>
  <c r="AA16"/>
  <c r="AL16"/>
  <c r="W16"/>
  <c r="U16"/>
  <c r="W15" i="21"/>
  <c r="Y15"/>
  <c r="W21"/>
  <c r="Y21"/>
  <c r="X21"/>
  <c r="Z21"/>
  <c r="T15"/>
  <c r="X15"/>
  <c r="Z15"/>
  <c r="AM15"/>
  <c r="Q13"/>
  <c r="N14"/>
  <c r="R14"/>
  <c r="P23"/>
  <c r="R22"/>
  <c r="V16"/>
  <c r="U16"/>
  <c r="H15" i="15"/>
  <c r="F16"/>
  <c r="J7" i="14"/>
  <c r="B6"/>
  <c r="K7"/>
  <c r="L7" s="1"/>
  <c r="M7" s="1"/>
  <c r="N7" s="1"/>
  <c r="O7" s="1"/>
  <c r="D247"/>
  <c r="I246"/>
  <c r="L246"/>
  <c r="H246"/>
  <c r="G246"/>
  <c r="F247"/>
  <c r="T8"/>
  <c r="Q9"/>
  <c r="A65" i="13"/>
  <c r="H72"/>
  <c r="O74"/>
  <c r="K75"/>
  <c r="L76"/>
  <c r="B65"/>
  <c r="I73"/>
  <c r="M77"/>
  <c r="R77"/>
  <c r="S78"/>
  <c r="U80"/>
  <c r="G71"/>
  <c r="F71"/>
  <c r="E71" s="1"/>
  <c r="J23" i="8"/>
  <c r="D24"/>
  <c r="J14"/>
  <c r="B13"/>
  <c r="K14"/>
  <c r="L10" i="7"/>
  <c r="O11"/>
  <c r="P11" s="1"/>
  <c r="N11"/>
  <c r="D16"/>
  <c r="C15"/>
  <c r="B15" s="1"/>
  <c r="C46"/>
  <c r="D46"/>
  <c r="B47"/>
  <c r="C9" i="6"/>
  <c r="D6"/>
  <c r="E6"/>
  <c r="B31"/>
  <c r="H46" i="5"/>
  <c r="C46" s="1"/>
  <c r="D46"/>
  <c r="G46"/>
  <c r="F47" s="1"/>
  <c r="R11"/>
  <c r="P10"/>
  <c r="S11"/>
  <c r="T12"/>
  <c r="B12"/>
  <c r="G15"/>
  <c r="F15" s="1"/>
  <c r="H16"/>
  <c r="C16" s="1"/>
  <c r="D16"/>
  <c r="G100" i="2"/>
  <c r="F101"/>
  <c r="C52" i="1"/>
  <c r="B53" s="1"/>
  <c r="I6"/>
  <c r="H7" s="1"/>
  <c r="I52"/>
  <c r="H53" s="1"/>
  <c r="E52"/>
  <c r="D53" s="1"/>
  <c r="G6"/>
  <c r="F7" s="1"/>
  <c r="C6"/>
  <c r="B7" s="1"/>
  <c r="G52"/>
  <c r="F53" s="1"/>
  <c r="E6"/>
  <c r="D7"/>
  <c r="D62" i="25" l="1"/>
  <c r="E63"/>
  <c r="I290" i="24"/>
  <c r="L290"/>
  <c r="D291"/>
  <c r="G240"/>
  <c r="F241"/>
  <c r="H240"/>
  <c r="AL15" i="22"/>
  <c r="V15"/>
  <c r="X15"/>
  <c r="AA15"/>
  <c r="W15"/>
  <c r="U15"/>
  <c r="Q10"/>
  <c r="N11"/>
  <c r="P13"/>
  <c r="R14"/>
  <c r="S16"/>
  <c r="T16"/>
  <c r="W22" i="21"/>
  <c r="Y22"/>
  <c r="X22"/>
  <c r="Z22"/>
  <c r="U14"/>
  <c r="T14"/>
  <c r="V14"/>
  <c r="X14"/>
  <c r="Z14"/>
  <c r="AM14"/>
  <c r="N13"/>
  <c r="R13"/>
  <c r="Q12"/>
  <c r="P24"/>
  <c r="R23"/>
  <c r="W14"/>
  <c r="Y14"/>
  <c r="U15"/>
  <c r="V15"/>
  <c r="H16" i="15"/>
  <c r="F17"/>
  <c r="G247" i="14"/>
  <c r="F248"/>
  <c r="H247"/>
  <c r="T7"/>
  <c r="Q8"/>
  <c r="I247"/>
  <c r="L247"/>
  <c r="D248"/>
  <c r="K6"/>
  <c r="L6" s="1"/>
  <c r="M6" s="1"/>
  <c r="N6" s="1"/>
  <c r="O6" s="1"/>
  <c r="B5"/>
  <c r="J6"/>
  <c r="H73" i="13"/>
  <c r="I74"/>
  <c r="L77"/>
  <c r="M78"/>
  <c r="R78"/>
  <c r="S79"/>
  <c r="A66"/>
  <c r="B66" s="1"/>
  <c r="O75"/>
  <c r="K76"/>
  <c r="U81"/>
  <c r="F72"/>
  <c r="E72" s="1"/>
  <c r="G72"/>
  <c r="J13" i="8"/>
  <c r="B12"/>
  <c r="K13"/>
  <c r="J24"/>
  <c r="D25"/>
  <c r="C47" i="7"/>
  <c r="D47"/>
  <c r="B48"/>
  <c r="D15"/>
  <c r="C14"/>
  <c r="B14" s="1"/>
  <c r="L9"/>
  <c r="O10"/>
  <c r="P10" s="1"/>
  <c r="N10"/>
  <c r="B32" i="6"/>
  <c r="L6"/>
  <c r="F6"/>
  <c r="H6"/>
  <c r="I6" s="1"/>
  <c r="J7" s="1"/>
  <c r="G6"/>
  <c r="C10"/>
  <c r="H47" i="5"/>
  <c r="C47" s="1"/>
  <c r="D47"/>
  <c r="G47"/>
  <c r="F48" s="1"/>
  <c r="T11"/>
  <c r="B11"/>
  <c r="G14"/>
  <c r="F14" s="1"/>
  <c r="D15"/>
  <c r="H15"/>
  <c r="C15" s="1"/>
  <c r="R10"/>
  <c r="P9"/>
  <c r="S10"/>
  <c r="G101" i="2"/>
  <c r="F102"/>
  <c r="G53" i="1"/>
  <c r="F54" s="1"/>
  <c r="G7"/>
  <c r="F8"/>
  <c r="I53"/>
  <c r="H54"/>
  <c r="C53"/>
  <c r="B54"/>
  <c r="C7"/>
  <c r="B8"/>
  <c r="E53"/>
  <c r="D54"/>
  <c r="I7"/>
  <c r="H8"/>
  <c r="E7"/>
  <c r="D8"/>
  <c r="E64" i="25" l="1"/>
  <c r="D63"/>
  <c r="H241" i="24"/>
  <c r="G241"/>
  <c r="F242"/>
  <c r="D292"/>
  <c r="I291"/>
  <c r="L291"/>
  <c r="AL14" i="22"/>
  <c r="V14"/>
  <c r="X14"/>
  <c r="AA14"/>
  <c r="W14"/>
  <c r="U14"/>
  <c r="Q9"/>
  <c r="N10"/>
  <c r="P12"/>
  <c r="R13"/>
  <c r="T15"/>
  <c r="S15"/>
  <c r="W23" i="21"/>
  <c r="Y23"/>
  <c r="X23"/>
  <c r="Z23"/>
  <c r="W13"/>
  <c r="Y13"/>
  <c r="N12"/>
  <c r="R12"/>
  <c r="Q11"/>
  <c r="R24"/>
  <c r="P25"/>
  <c r="T13"/>
  <c r="V13"/>
  <c r="X13"/>
  <c r="Z13"/>
  <c r="AM13"/>
  <c r="U13"/>
  <c r="H17" i="15"/>
  <c r="F18"/>
  <c r="T6" i="14"/>
  <c r="Q7"/>
  <c r="K5"/>
  <c r="L5" s="1"/>
  <c r="M5" s="1"/>
  <c r="N5" s="1"/>
  <c r="O5" s="1"/>
  <c r="B4"/>
  <c r="J5"/>
  <c r="D249"/>
  <c r="I248"/>
  <c r="L248"/>
  <c r="H248"/>
  <c r="G248"/>
  <c r="F249"/>
  <c r="O76" i="13"/>
  <c r="S80"/>
  <c r="U82"/>
  <c r="A67"/>
  <c r="B67" s="1"/>
  <c r="H74"/>
  <c r="I75"/>
  <c r="K77"/>
  <c r="L78"/>
  <c r="M79"/>
  <c r="R79"/>
  <c r="F73"/>
  <c r="E73" s="1"/>
  <c r="G73"/>
  <c r="K12" i="8"/>
  <c r="B11"/>
  <c r="J12"/>
  <c r="J25"/>
  <c r="D26"/>
  <c r="D14" i="7"/>
  <c r="C13"/>
  <c r="B13" s="1"/>
  <c r="C48"/>
  <c r="D48"/>
  <c r="B49"/>
  <c r="L8"/>
  <c r="O9"/>
  <c r="P9" s="1"/>
  <c r="N9"/>
  <c r="C11" i="6"/>
  <c r="E7"/>
  <c r="D7"/>
  <c r="B33"/>
  <c r="H48" i="5"/>
  <c r="C48" s="1"/>
  <c r="D48"/>
  <c r="G48"/>
  <c r="F49" s="1"/>
  <c r="R9"/>
  <c r="P8"/>
  <c r="S9"/>
  <c r="G13"/>
  <c r="F13" s="1"/>
  <c r="D14"/>
  <c r="H14"/>
  <c r="C14" s="1"/>
  <c r="T10"/>
  <c r="B10"/>
  <c r="G102" i="2"/>
  <c r="F103"/>
  <c r="G54" i="1"/>
  <c r="F55" s="1"/>
  <c r="I8"/>
  <c r="H9"/>
  <c r="E54"/>
  <c r="D55"/>
  <c r="C8"/>
  <c r="B9"/>
  <c r="C54"/>
  <c r="B55"/>
  <c r="I54"/>
  <c r="H55"/>
  <c r="G8"/>
  <c r="F9"/>
  <c r="E8"/>
  <c r="D9"/>
  <c r="E65" i="25" l="1"/>
  <c r="D64"/>
  <c r="G242" i="24"/>
  <c r="F243"/>
  <c r="H242"/>
  <c r="I292"/>
  <c r="L292"/>
  <c r="D293"/>
  <c r="V13" i="22"/>
  <c r="X13"/>
  <c r="AA13"/>
  <c r="AL13"/>
  <c r="U13"/>
  <c r="W13"/>
  <c r="Q8"/>
  <c r="N9"/>
  <c r="P11"/>
  <c r="R12"/>
  <c r="T14"/>
  <c r="S14"/>
  <c r="R25" i="21"/>
  <c r="P26"/>
  <c r="N11"/>
  <c r="R11"/>
  <c r="Q10"/>
  <c r="W12"/>
  <c r="Y12"/>
  <c r="W24"/>
  <c r="Y24"/>
  <c r="X24"/>
  <c r="Z24"/>
  <c r="T12"/>
  <c r="V12"/>
  <c r="X12"/>
  <c r="Z12"/>
  <c r="AM12"/>
  <c r="U12"/>
  <c r="H18" i="15"/>
  <c r="F19"/>
  <c r="G249" i="14"/>
  <c r="H249"/>
  <c r="T5"/>
  <c r="Q6"/>
  <c r="I249"/>
  <c r="L249"/>
  <c r="K4"/>
  <c r="L4" s="1"/>
  <c r="M4" s="1"/>
  <c r="N4" s="1"/>
  <c r="O4" s="1"/>
  <c r="J4"/>
  <c r="H75" i="13"/>
  <c r="I76"/>
  <c r="O77"/>
  <c r="K78"/>
  <c r="L79"/>
  <c r="S81"/>
  <c r="A68"/>
  <c r="B68" s="1"/>
  <c r="M80"/>
  <c r="R80"/>
  <c r="U83"/>
  <c r="G74"/>
  <c r="F74"/>
  <c r="E74" s="1"/>
  <c r="K11" i="8"/>
  <c r="B10"/>
  <c r="J11"/>
  <c r="J26"/>
  <c r="D27"/>
  <c r="L7" i="7"/>
  <c r="O8"/>
  <c r="P8" s="1"/>
  <c r="N8"/>
  <c r="D13"/>
  <c r="C12"/>
  <c r="B12" s="1"/>
  <c r="C49"/>
  <c r="D49"/>
  <c r="B50"/>
  <c r="B34" i="6"/>
  <c r="L7"/>
  <c r="G7"/>
  <c r="H7"/>
  <c r="I7" s="1"/>
  <c r="J8" s="1"/>
  <c r="F7"/>
  <c r="C12"/>
  <c r="H49" i="5"/>
  <c r="C49" s="1"/>
  <c r="D49"/>
  <c r="G49"/>
  <c r="F50" s="1"/>
  <c r="T9"/>
  <c r="B9"/>
  <c r="G12"/>
  <c r="F12" s="1"/>
  <c r="D13"/>
  <c r="H13"/>
  <c r="C13" s="1"/>
  <c r="R8"/>
  <c r="P7"/>
  <c r="S8"/>
  <c r="G103" i="2"/>
  <c r="F104"/>
  <c r="G55" i="1"/>
  <c r="F56" s="1"/>
  <c r="G9"/>
  <c r="F10"/>
  <c r="I55"/>
  <c r="H56"/>
  <c r="C55"/>
  <c r="B56"/>
  <c r="C9"/>
  <c r="B10"/>
  <c r="E55"/>
  <c r="D56"/>
  <c r="I9"/>
  <c r="H10"/>
  <c r="E9"/>
  <c r="D10"/>
  <c r="E66" i="25" l="1"/>
  <c r="D65"/>
  <c r="D294" i="24"/>
  <c r="I293"/>
  <c r="L293"/>
  <c r="H243"/>
  <c r="G243"/>
  <c r="F244"/>
  <c r="V12" i="22"/>
  <c r="X12"/>
  <c r="AA12"/>
  <c r="AL12"/>
  <c r="U12"/>
  <c r="W12"/>
  <c r="Q7"/>
  <c r="N8"/>
  <c r="P10"/>
  <c r="R11"/>
  <c r="S13"/>
  <c r="T13"/>
  <c r="Q9" i="21"/>
  <c r="N10"/>
  <c r="R10"/>
  <c r="W11"/>
  <c r="Y11"/>
  <c r="X25"/>
  <c r="Z25"/>
  <c r="W25"/>
  <c r="Y25"/>
  <c r="T11"/>
  <c r="V11"/>
  <c r="X11"/>
  <c r="Z11"/>
  <c r="AM11"/>
  <c r="U11"/>
  <c r="R26"/>
  <c r="P27"/>
  <c r="H19" i="15"/>
  <c r="F20"/>
  <c r="T4" i="14"/>
  <c r="Q4"/>
  <c r="Q5"/>
  <c r="I77" i="13"/>
  <c r="L80"/>
  <c r="U84"/>
  <c r="A69"/>
  <c r="B69" s="1"/>
  <c r="H76"/>
  <c r="O78"/>
  <c r="K79"/>
  <c r="M81"/>
  <c r="R81"/>
  <c r="S82"/>
  <c r="F75"/>
  <c r="E75" s="1"/>
  <c r="G75"/>
  <c r="K10" i="8"/>
  <c r="B9"/>
  <c r="J10"/>
  <c r="J27"/>
  <c r="D28"/>
  <c r="D12" i="7"/>
  <c r="C11"/>
  <c r="B11" s="1"/>
  <c r="L6"/>
  <c r="O7"/>
  <c r="P7" s="1"/>
  <c r="N7"/>
  <c r="C50"/>
  <c r="D50"/>
  <c r="B51"/>
  <c r="C13" i="6"/>
  <c r="D8"/>
  <c r="E8"/>
  <c r="B35"/>
  <c r="H50" i="5"/>
  <c r="C50" s="1"/>
  <c r="D50"/>
  <c r="G50"/>
  <c r="F51" s="1"/>
  <c r="R7"/>
  <c r="P6"/>
  <c r="S7"/>
  <c r="G11"/>
  <c r="F11" s="1"/>
  <c r="D12"/>
  <c r="H12"/>
  <c r="C12" s="1"/>
  <c r="T8"/>
  <c r="B8"/>
  <c r="G104" i="2"/>
  <c r="F105"/>
  <c r="G105" s="1"/>
  <c r="G56" i="1"/>
  <c r="F57" s="1"/>
  <c r="E10"/>
  <c r="D11"/>
  <c r="I10"/>
  <c r="H11"/>
  <c r="E56"/>
  <c r="D57"/>
  <c r="C10"/>
  <c r="B11"/>
  <c r="C56"/>
  <c r="B57"/>
  <c r="I56"/>
  <c r="H57"/>
  <c r="G10"/>
  <c r="F11"/>
  <c r="E67" i="25" l="1"/>
  <c r="D66"/>
  <c r="I294" i="24"/>
  <c r="L294"/>
  <c r="D295"/>
  <c r="G244"/>
  <c r="F245"/>
  <c r="H244"/>
  <c r="AL11" i="22"/>
  <c r="V11"/>
  <c r="X11"/>
  <c r="AA11"/>
  <c r="U11"/>
  <c r="W11"/>
  <c r="N7"/>
  <c r="Q6"/>
  <c r="P9"/>
  <c r="R10"/>
  <c r="S12"/>
  <c r="T12"/>
  <c r="R27" i="21"/>
  <c r="P28"/>
  <c r="T10"/>
  <c r="X10"/>
  <c r="Z10"/>
  <c r="AM10"/>
  <c r="Q8"/>
  <c r="N9"/>
  <c r="R9"/>
  <c r="W26"/>
  <c r="Y26"/>
  <c r="X26"/>
  <c r="Z26"/>
  <c r="W10"/>
  <c r="Y10"/>
  <c r="H20" i="15"/>
  <c r="F21"/>
  <c r="A70" i="13"/>
  <c r="O79"/>
  <c r="L81"/>
  <c r="M82"/>
  <c r="R82"/>
  <c r="S83"/>
  <c r="U85"/>
  <c r="B70"/>
  <c r="H77"/>
  <c r="I78"/>
  <c r="K80"/>
  <c r="G76"/>
  <c r="F76"/>
  <c r="E76" s="1"/>
  <c r="K9" i="8"/>
  <c r="B8"/>
  <c r="J9"/>
  <c r="J28"/>
  <c r="D29"/>
  <c r="C51" i="7"/>
  <c r="D51"/>
  <c r="B52"/>
  <c r="D11"/>
  <c r="C10"/>
  <c r="B10" s="1"/>
  <c r="L5"/>
  <c r="O6"/>
  <c r="P6" s="1"/>
  <c r="N6"/>
  <c r="B36" i="6"/>
  <c r="L8"/>
  <c r="F8"/>
  <c r="H8"/>
  <c r="I8" s="1"/>
  <c r="J9" s="1"/>
  <c r="G8"/>
  <c r="C14"/>
  <c r="H51" i="5"/>
  <c r="C51" s="1"/>
  <c r="D51"/>
  <c r="G51"/>
  <c r="F52" s="1"/>
  <c r="T7"/>
  <c r="B7"/>
  <c r="G10"/>
  <c r="F10" s="1"/>
  <c r="D11"/>
  <c r="H11"/>
  <c r="C11" s="1"/>
  <c r="R6"/>
  <c r="P5"/>
  <c r="S6"/>
  <c r="G57" i="1"/>
  <c r="F58" s="1"/>
  <c r="G11"/>
  <c r="F12"/>
  <c r="C57"/>
  <c r="B58"/>
  <c r="C11"/>
  <c r="B12"/>
  <c r="E57"/>
  <c r="D58"/>
  <c r="I11"/>
  <c r="H12"/>
  <c r="E11"/>
  <c r="D12"/>
  <c r="I57"/>
  <c r="H58"/>
  <c r="D67" i="25" l="1"/>
  <c r="E68"/>
  <c r="H245" i="24"/>
  <c r="G245"/>
  <c r="F246"/>
  <c r="D296"/>
  <c r="I295"/>
  <c r="L295"/>
  <c r="AA10" i="22"/>
  <c r="V10"/>
  <c r="X10"/>
  <c r="AL10"/>
  <c r="U10"/>
  <c r="W10"/>
  <c r="Q5"/>
  <c r="N6"/>
  <c r="P8"/>
  <c r="R9"/>
  <c r="T11"/>
  <c r="S11"/>
  <c r="T9" i="21"/>
  <c r="X9"/>
  <c r="Z9"/>
  <c r="AM9"/>
  <c r="Q7"/>
  <c r="N8"/>
  <c r="R8"/>
  <c r="X27"/>
  <c r="Z27"/>
  <c r="W27"/>
  <c r="Y27"/>
  <c r="W9"/>
  <c r="Y9"/>
  <c r="R28"/>
  <c r="P29"/>
  <c r="U10"/>
  <c r="V10"/>
  <c r="H21" i="15"/>
  <c r="F22"/>
  <c r="A71" i="13"/>
  <c r="H78"/>
  <c r="I79"/>
  <c r="O80"/>
  <c r="U86"/>
  <c r="B71"/>
  <c r="K81"/>
  <c r="L82"/>
  <c r="M83"/>
  <c r="R83"/>
  <c r="S84"/>
  <c r="G77"/>
  <c r="F77"/>
  <c r="E77" s="1"/>
  <c r="K8" i="8"/>
  <c r="B7"/>
  <c r="J8"/>
  <c r="J29"/>
  <c r="D30"/>
  <c r="D10" i="7"/>
  <c r="C9"/>
  <c r="B9" s="1"/>
  <c r="C52"/>
  <c r="D52"/>
  <c r="B53"/>
  <c r="L4"/>
  <c r="O5"/>
  <c r="P5" s="1"/>
  <c r="N5"/>
  <c r="C15" i="6"/>
  <c r="E9"/>
  <c r="D9"/>
  <c r="B37"/>
  <c r="H52" i="5"/>
  <c r="C52" s="1"/>
  <c r="D52"/>
  <c r="G52"/>
  <c r="F53" s="1"/>
  <c r="R5"/>
  <c r="P4"/>
  <c r="S5"/>
  <c r="G9"/>
  <c r="F9" s="1"/>
  <c r="D10"/>
  <c r="H10"/>
  <c r="C10" s="1"/>
  <c r="T6"/>
  <c r="B6"/>
  <c r="G58" i="1"/>
  <c r="F59" s="1"/>
  <c r="I58"/>
  <c r="H59"/>
  <c r="E12"/>
  <c r="D13"/>
  <c r="I12"/>
  <c r="H13"/>
  <c r="E58"/>
  <c r="D59"/>
  <c r="C12"/>
  <c r="B13"/>
  <c r="C58"/>
  <c r="B59"/>
  <c r="G12"/>
  <c r="F13"/>
  <c r="D68" i="25" l="1"/>
  <c r="C68" s="1"/>
  <c r="E69"/>
  <c r="G246" i="24"/>
  <c r="F247"/>
  <c r="H246"/>
  <c r="I296"/>
  <c r="L296"/>
  <c r="D297"/>
  <c r="AL9" i="22"/>
  <c r="V9"/>
  <c r="X9"/>
  <c r="AA9"/>
  <c r="U9"/>
  <c r="W9"/>
  <c r="Q4"/>
  <c r="N5"/>
  <c r="P7"/>
  <c r="R8"/>
  <c r="T10"/>
  <c r="S10"/>
  <c r="R29" i="21"/>
  <c r="P30"/>
  <c r="T8"/>
  <c r="V8"/>
  <c r="X8"/>
  <c r="Z8"/>
  <c r="AM8"/>
  <c r="N7"/>
  <c r="R7"/>
  <c r="U8" s="1"/>
  <c r="Q6"/>
  <c r="V9"/>
  <c r="U9"/>
  <c r="W28"/>
  <c r="Y28"/>
  <c r="X28"/>
  <c r="Z28"/>
  <c r="W8"/>
  <c r="Y8"/>
  <c r="H22" i="15"/>
  <c r="F23"/>
  <c r="I80" i="13"/>
  <c r="O81"/>
  <c r="K82"/>
  <c r="L83"/>
  <c r="M84"/>
  <c r="R84"/>
  <c r="U87"/>
  <c r="A72"/>
  <c r="B72" s="1"/>
  <c r="H79"/>
  <c r="S85"/>
  <c r="F78"/>
  <c r="E78" s="1"/>
  <c r="G78"/>
  <c r="K7" i="8"/>
  <c r="B6"/>
  <c r="J7"/>
  <c r="J30"/>
  <c r="D31"/>
  <c r="O4" i="7"/>
  <c r="P4" s="1"/>
  <c r="N4"/>
  <c r="D9"/>
  <c r="C8"/>
  <c r="B8" s="1"/>
  <c r="C53"/>
  <c r="D53"/>
  <c r="B54"/>
  <c r="B38" i="6"/>
  <c r="L9"/>
  <c r="G9"/>
  <c r="H9"/>
  <c r="I9" s="1"/>
  <c r="J10" s="1"/>
  <c r="F9"/>
  <c r="C16"/>
  <c r="H53" i="5"/>
  <c r="C53" s="1"/>
  <c r="D53"/>
  <c r="G53"/>
  <c r="F54" s="1"/>
  <c r="T5"/>
  <c r="B5"/>
  <c r="G8"/>
  <c r="F8" s="1"/>
  <c r="D9"/>
  <c r="H9"/>
  <c r="C9" s="1"/>
  <c r="R4"/>
  <c r="S4"/>
  <c r="G59" i="1"/>
  <c r="F60" s="1"/>
  <c r="G13"/>
  <c r="F14"/>
  <c r="C59"/>
  <c r="B60"/>
  <c r="C13"/>
  <c r="B14"/>
  <c r="E59"/>
  <c r="D60"/>
  <c r="I13"/>
  <c r="H14"/>
  <c r="E13"/>
  <c r="D14"/>
  <c r="I59"/>
  <c r="H60"/>
  <c r="C69" i="25" l="1"/>
  <c r="C54"/>
  <c r="C56" s="1"/>
  <c r="C57" s="1"/>
  <c r="C58" s="1"/>
  <c r="C59" s="1"/>
  <c r="C60" s="1"/>
  <c r="C61" s="1"/>
  <c r="C62" s="1"/>
  <c r="C63" s="1"/>
  <c r="C64" s="1"/>
  <c r="C65" s="1"/>
  <c r="C66" s="1"/>
  <c r="C67" s="1"/>
  <c r="D69"/>
  <c r="E70"/>
  <c r="D298" i="24"/>
  <c r="I297"/>
  <c r="L297"/>
  <c r="H247"/>
  <c r="G247"/>
  <c r="F248"/>
  <c r="S8" i="22"/>
  <c r="AL8"/>
  <c r="T8"/>
  <c r="V8"/>
  <c r="X8"/>
  <c r="AA8"/>
  <c r="U8"/>
  <c r="W8"/>
  <c r="N4"/>
  <c r="P6"/>
  <c r="R7"/>
  <c r="T9"/>
  <c r="S9"/>
  <c r="Q5" i="21"/>
  <c r="N6"/>
  <c r="R6"/>
  <c r="W7"/>
  <c r="Y7"/>
  <c r="X29"/>
  <c r="Z29"/>
  <c r="W29"/>
  <c r="Y29"/>
  <c r="T7"/>
  <c r="V7"/>
  <c r="X7"/>
  <c r="Z7"/>
  <c r="AM7"/>
  <c r="U7"/>
  <c r="R30"/>
  <c r="P31"/>
  <c r="H23" i="15"/>
  <c r="F24"/>
  <c r="I81" i="13"/>
  <c r="R85"/>
  <c r="A73"/>
  <c r="B73" s="1"/>
  <c r="H80"/>
  <c r="O82"/>
  <c r="K83"/>
  <c r="L84"/>
  <c r="M85"/>
  <c r="S86"/>
  <c r="U88"/>
  <c r="G79"/>
  <c r="F79"/>
  <c r="E79" s="1"/>
  <c r="K6" i="8"/>
  <c r="B5"/>
  <c r="J6"/>
  <c r="J31"/>
  <c r="D32"/>
  <c r="C54" i="7"/>
  <c r="E54" s="1"/>
  <c r="F54" s="1"/>
  <c r="D54"/>
  <c r="D8"/>
  <c r="C7"/>
  <c r="B7" s="1"/>
  <c r="C17" i="6"/>
  <c r="E10"/>
  <c r="D10"/>
  <c r="B39"/>
  <c r="H54" i="5"/>
  <c r="C54" s="1"/>
  <c r="D54"/>
  <c r="G54"/>
  <c r="I54" s="1"/>
  <c r="J54" s="1"/>
  <c r="B54" s="1"/>
  <c r="T4"/>
  <c r="B4"/>
  <c r="G7"/>
  <c r="F7" s="1"/>
  <c r="D8"/>
  <c r="H8"/>
  <c r="C8" s="1"/>
  <c r="G60" i="1"/>
  <c r="F61" s="1"/>
  <c r="I60"/>
  <c r="H61"/>
  <c r="E14"/>
  <c r="D15"/>
  <c r="I14"/>
  <c r="H15"/>
  <c r="E60"/>
  <c r="D61"/>
  <c r="C14"/>
  <c r="B15"/>
  <c r="C60"/>
  <c r="B61"/>
  <c r="G14"/>
  <c r="F15"/>
  <c r="D70" i="25" l="1"/>
  <c r="E71"/>
  <c r="D71" s="1"/>
  <c r="I298" i="24"/>
  <c r="L298"/>
  <c r="D299"/>
  <c r="G248"/>
  <c r="F249"/>
  <c r="H248"/>
  <c r="P5" i="22"/>
  <c r="R6"/>
  <c r="T7"/>
  <c r="V7"/>
  <c r="X7"/>
  <c r="AA7"/>
  <c r="S7"/>
  <c r="AL7"/>
  <c r="U7"/>
  <c r="W7"/>
  <c r="R31" i="21"/>
  <c r="P32"/>
  <c r="T6"/>
  <c r="X6"/>
  <c r="Z6"/>
  <c r="AM6"/>
  <c r="Q4"/>
  <c r="N5"/>
  <c r="R5"/>
  <c r="W30"/>
  <c r="Y30"/>
  <c r="X30"/>
  <c r="Z30"/>
  <c r="W6"/>
  <c r="Y6"/>
  <c r="H24" i="15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0"/>
  <c r="J40" s="1"/>
  <c r="H41"/>
  <c r="J41" s="1"/>
  <c r="H42"/>
  <c r="J42" s="1"/>
  <c r="H43"/>
  <c r="J43" s="1"/>
  <c r="H44"/>
  <c r="J44" s="1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J60" s="1"/>
  <c r="H61"/>
  <c r="J61" s="1"/>
  <c r="H62"/>
  <c r="J62" s="1"/>
  <c r="H63"/>
  <c r="J63" s="1"/>
  <c r="H64"/>
  <c r="J64" s="1"/>
  <c r="H65"/>
  <c r="J65" s="1"/>
  <c r="H66"/>
  <c r="J66" s="1"/>
  <c r="H67"/>
  <c r="J67" s="1"/>
  <c r="H68"/>
  <c r="J68" s="1"/>
  <c r="H69"/>
  <c r="J69" s="1"/>
  <c r="H70"/>
  <c r="J70" s="1"/>
  <c r="H71"/>
  <c r="J71" s="1"/>
  <c r="H72"/>
  <c r="J72" s="1"/>
  <c r="H73"/>
  <c r="J73" s="1"/>
  <c r="H74"/>
  <c r="J74" s="1"/>
  <c r="H75"/>
  <c r="J75" s="1"/>
  <c r="H76"/>
  <c r="J76" s="1"/>
  <c r="H77"/>
  <c r="J77" s="1"/>
  <c r="H78"/>
  <c r="J78" s="1"/>
  <c r="H79"/>
  <c r="J79" s="1"/>
  <c r="H80"/>
  <c r="J80" s="1"/>
  <c r="H81"/>
  <c r="J81" s="1"/>
  <c r="H82"/>
  <c r="J82" s="1"/>
  <c r="H83"/>
  <c r="J83" s="1"/>
  <c r="H84"/>
  <c r="J84" s="1"/>
  <c r="H85"/>
  <c r="J85" s="1"/>
  <c r="H86"/>
  <c r="J86" s="1"/>
  <c r="H87"/>
  <c r="J87" s="1"/>
  <c r="H88"/>
  <c r="J88" s="1"/>
  <c r="H89"/>
  <c r="J89" s="1"/>
  <c r="H90"/>
  <c r="J90" s="1"/>
  <c r="H91"/>
  <c r="J91" s="1"/>
  <c r="H92"/>
  <c r="J92" s="1"/>
  <c r="H93"/>
  <c r="J93" s="1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J101" s="1"/>
  <c r="H102"/>
  <c r="J102" s="1"/>
  <c r="H103"/>
  <c r="J103" s="1"/>
  <c r="H104"/>
  <c r="J104" s="1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2"/>
  <c r="J112" s="1"/>
  <c r="H113"/>
  <c r="J113" s="1"/>
  <c r="H114"/>
  <c r="J114" s="1"/>
  <c r="H115"/>
  <c r="J115" s="1"/>
  <c r="H116"/>
  <c r="J116" s="1"/>
  <c r="H117"/>
  <c r="J117" s="1"/>
  <c r="H118"/>
  <c r="J118" s="1"/>
  <c r="H119"/>
  <c r="J119" s="1"/>
  <c r="H120"/>
  <c r="J120" s="1"/>
  <c r="H121"/>
  <c r="J121" s="1"/>
  <c r="O83" i="13"/>
  <c r="K84"/>
  <c r="L85"/>
  <c r="R86"/>
  <c r="U89"/>
  <c r="A74"/>
  <c r="H81"/>
  <c r="I82"/>
  <c r="M86"/>
  <c r="S87"/>
  <c r="F88"/>
  <c r="E88" s="1"/>
  <c r="G88"/>
  <c r="G83"/>
  <c r="F83"/>
  <c r="E83" s="1"/>
  <c r="G80"/>
  <c r="F80"/>
  <c r="E80" s="1"/>
  <c r="K5" i="8"/>
  <c r="B4"/>
  <c r="J5"/>
  <c r="J32"/>
  <c r="D33"/>
  <c r="D7" i="7"/>
  <c r="C6"/>
  <c r="B6" s="1"/>
  <c r="B40" i="6"/>
  <c r="L10"/>
  <c r="F10"/>
  <c r="H10"/>
  <c r="I10" s="1"/>
  <c r="J11" s="1"/>
  <c r="G10"/>
  <c r="C18"/>
  <c r="G6" i="5"/>
  <c r="F6" s="1"/>
  <c r="D7"/>
  <c r="H7"/>
  <c r="C7" s="1"/>
  <c r="G61" i="1"/>
  <c r="F62" s="1"/>
  <c r="G15"/>
  <c r="F16"/>
  <c r="C61"/>
  <c r="B62"/>
  <c r="C15"/>
  <c r="B16"/>
  <c r="E61"/>
  <c r="D62"/>
  <c r="I15"/>
  <c r="H16"/>
  <c r="E15"/>
  <c r="D16"/>
  <c r="I61"/>
  <c r="H62"/>
  <c r="H249" i="24" l="1"/>
  <c r="G249"/>
  <c r="F250"/>
  <c r="D300"/>
  <c r="I299"/>
  <c r="L299"/>
  <c r="P4" i="22"/>
  <c r="R4" s="1"/>
  <c r="R5"/>
  <c r="T6"/>
  <c r="V6"/>
  <c r="X6"/>
  <c r="AA6"/>
  <c r="S6"/>
  <c r="AL6"/>
  <c r="U6"/>
  <c r="W6"/>
  <c r="T5" i="21"/>
  <c r="X5"/>
  <c r="Z5"/>
  <c r="AM5"/>
  <c r="U1"/>
  <c r="N4"/>
  <c r="R4"/>
  <c r="X31"/>
  <c r="Z31"/>
  <c r="W31"/>
  <c r="Y31"/>
  <c r="W5"/>
  <c r="Y5"/>
  <c r="R32"/>
  <c r="P33"/>
  <c r="U6"/>
  <c r="V6"/>
  <c r="J24" i="15"/>
  <c r="L23" s="1"/>
  <c r="J23"/>
  <c r="G87" i="13"/>
  <c r="F87"/>
  <c r="E87" s="1"/>
  <c r="G82"/>
  <c r="F82"/>
  <c r="E82" s="1"/>
  <c r="F84"/>
  <c r="E84" s="1"/>
  <c r="G84"/>
  <c r="F86"/>
  <c r="E86" s="1"/>
  <c r="G86"/>
  <c r="G81"/>
  <c r="F81"/>
  <c r="E81" s="1"/>
  <c r="F89"/>
  <c r="E89" s="1"/>
  <c r="G89"/>
  <c r="G85"/>
  <c r="F85"/>
  <c r="E85" s="1"/>
  <c r="J33" i="8"/>
  <c r="D34"/>
  <c r="K4"/>
  <c r="J4"/>
  <c r="D6" i="7"/>
  <c r="C5"/>
  <c r="B5" s="1"/>
  <c r="C19" i="6"/>
  <c r="E11"/>
  <c r="D11"/>
  <c r="B41"/>
  <c r="G5" i="5"/>
  <c r="F5" s="1"/>
  <c r="D6"/>
  <c r="H6"/>
  <c r="C6" s="1"/>
  <c r="G62" i="1"/>
  <c r="F63" s="1"/>
  <c r="I62"/>
  <c r="H63"/>
  <c r="E16"/>
  <c r="D17"/>
  <c r="E17" s="1"/>
  <c r="I16"/>
  <c r="H17"/>
  <c r="E62"/>
  <c r="D63"/>
  <c r="C16"/>
  <c r="B17"/>
  <c r="C62"/>
  <c r="B63"/>
  <c r="G16"/>
  <c r="F17"/>
  <c r="G250" i="24" l="1"/>
  <c r="F251"/>
  <c r="H250"/>
  <c r="I300"/>
  <c r="L300"/>
  <c r="D301"/>
  <c r="AJ4" i="22"/>
  <c r="AL4"/>
  <c r="V4"/>
  <c r="X4"/>
  <c r="AA4"/>
  <c r="AJ20"/>
  <c r="W4"/>
  <c r="U4"/>
  <c r="S5"/>
  <c r="AL5"/>
  <c r="T5"/>
  <c r="V5"/>
  <c r="X5"/>
  <c r="AA5"/>
  <c r="S1"/>
  <c r="W5"/>
  <c r="U5"/>
  <c r="R33" i="21"/>
  <c r="P34"/>
  <c r="T4"/>
  <c r="X4"/>
  <c r="Z4"/>
  <c r="AK4"/>
  <c r="AM4"/>
  <c r="V5"/>
  <c r="U5"/>
  <c r="X32"/>
  <c r="Z32"/>
  <c r="W32"/>
  <c r="Y32"/>
  <c r="W4"/>
  <c r="Y4"/>
  <c r="J34" i="8"/>
  <c r="D35"/>
  <c r="C4" i="7"/>
  <c r="B4" s="1"/>
  <c r="D4" s="1"/>
  <c r="D5"/>
  <c r="C20" i="6"/>
  <c r="B42"/>
  <c r="L11"/>
  <c r="G11"/>
  <c r="H11"/>
  <c r="I11" s="1"/>
  <c r="J12" s="1"/>
  <c r="F11"/>
  <c r="D5" i="5"/>
  <c r="G4"/>
  <c r="F4" s="1"/>
  <c r="H5"/>
  <c r="C5" s="1"/>
  <c r="G63" i="1"/>
  <c r="F64" s="1"/>
  <c r="I63"/>
  <c r="H64"/>
  <c r="G17"/>
  <c r="F18"/>
  <c r="C63"/>
  <c r="B64"/>
  <c r="C64" s="1"/>
  <c r="C17"/>
  <c r="B18"/>
  <c r="E63"/>
  <c r="D64"/>
  <c r="I17"/>
  <c r="H18"/>
  <c r="D302" i="24" l="1"/>
  <c r="I301"/>
  <c r="L301"/>
  <c r="H251"/>
  <c r="G251"/>
  <c r="F252"/>
  <c r="X33" i="21"/>
  <c r="Z33"/>
  <c r="W33"/>
  <c r="Y33"/>
  <c r="R34"/>
  <c r="P35"/>
  <c r="J35" i="8"/>
  <c r="D36"/>
  <c r="C21" i="6"/>
  <c r="E12"/>
  <c r="D12"/>
  <c r="B43"/>
  <c r="H4" i="5"/>
  <c r="C4" s="1"/>
  <c r="D4"/>
  <c r="G64" i="1"/>
  <c r="F65" s="1"/>
  <c r="I18"/>
  <c r="H19"/>
  <c r="E64"/>
  <c r="D65"/>
  <c r="C18"/>
  <c r="B19"/>
  <c r="G18"/>
  <c r="F19"/>
  <c r="I64"/>
  <c r="H65"/>
  <c r="I302" i="24" l="1"/>
  <c r="L302"/>
  <c r="D303"/>
  <c r="G252"/>
  <c r="F253"/>
  <c r="H252"/>
  <c r="X34" i="21"/>
  <c r="Z34"/>
  <c r="W34"/>
  <c r="Y34"/>
  <c r="R35"/>
  <c r="P36"/>
  <c r="J36" i="8"/>
  <c r="D37"/>
  <c r="C22" i="6"/>
  <c r="B44"/>
  <c r="L12"/>
  <c r="H12"/>
  <c r="I12" s="1"/>
  <c r="J13" s="1"/>
  <c r="G12"/>
  <c r="F12"/>
  <c r="G65" i="1"/>
  <c r="F66" s="1"/>
  <c r="G66" s="1"/>
  <c r="I65"/>
  <c r="H66"/>
  <c r="G19"/>
  <c r="F20"/>
  <c r="C19"/>
  <c r="B20"/>
  <c r="E65"/>
  <c r="D66"/>
  <c r="E66" s="1"/>
  <c r="I19"/>
  <c r="H20"/>
  <c r="H253" i="24" l="1"/>
  <c r="G253"/>
  <c r="F254"/>
  <c r="D304"/>
  <c r="I303"/>
  <c r="L303"/>
  <c r="X35" i="21"/>
  <c r="Z35"/>
  <c r="W35"/>
  <c r="Y35"/>
  <c r="R36"/>
  <c r="P37"/>
  <c r="J37" i="8"/>
  <c r="D38"/>
  <c r="E13" i="6"/>
  <c r="D13"/>
  <c r="C23"/>
  <c r="B45"/>
  <c r="I20" i="1"/>
  <c r="H21" s="1"/>
  <c r="C20"/>
  <c r="B21" s="1"/>
  <c r="G20"/>
  <c r="F21" s="1"/>
  <c r="I66"/>
  <c r="H67" s="1"/>
  <c r="I67" s="1"/>
  <c r="G254" i="24" l="1"/>
  <c r="F255"/>
  <c r="H254"/>
  <c r="I304"/>
  <c r="L304"/>
  <c r="D305"/>
  <c r="X36" i="21"/>
  <c r="Z36"/>
  <c r="W36"/>
  <c r="Y36"/>
  <c r="R37"/>
  <c r="P38"/>
  <c r="J38" i="8"/>
  <c r="D39"/>
  <c r="B46" i="6"/>
  <c r="C24"/>
  <c r="L13"/>
  <c r="G13"/>
  <c r="H13"/>
  <c r="I13" s="1"/>
  <c r="J14" s="1"/>
  <c r="F13"/>
  <c r="G21" i="1"/>
  <c r="F22" s="1"/>
  <c r="I21"/>
  <c r="H22" s="1"/>
  <c r="C21"/>
  <c r="B22" s="1"/>
  <c r="D306" i="24" l="1"/>
  <c r="I305"/>
  <c r="L305"/>
  <c r="H255"/>
  <c r="G255"/>
  <c r="F256"/>
  <c r="X37" i="21"/>
  <c r="Z37"/>
  <c r="W37"/>
  <c r="Y37"/>
  <c r="R38"/>
  <c r="P39"/>
  <c r="J39" i="8"/>
  <c r="D40"/>
  <c r="C25" i="6"/>
  <c r="E14"/>
  <c r="D14"/>
  <c r="B47"/>
  <c r="C22" i="1"/>
  <c r="B23" s="1"/>
  <c r="G22"/>
  <c r="F23" s="1"/>
  <c r="I22"/>
  <c r="H23" s="1"/>
  <c r="I23" s="1"/>
  <c r="I306" i="24" l="1"/>
  <c r="L306"/>
  <c r="D307"/>
  <c r="G256"/>
  <c r="F257"/>
  <c r="H256"/>
  <c r="X38" i="21"/>
  <c r="Z38"/>
  <c r="W38"/>
  <c r="Y38"/>
  <c r="R39"/>
  <c r="P40"/>
  <c r="J40" i="8"/>
  <c r="D41"/>
  <c r="C26" i="6"/>
  <c r="B48"/>
  <c r="L14"/>
  <c r="F14"/>
  <c r="H14"/>
  <c r="I14" s="1"/>
  <c r="J15" s="1"/>
  <c r="G14"/>
  <c r="C23" i="1"/>
  <c r="B24"/>
  <c r="G23"/>
  <c r="F24"/>
  <c r="H257" i="24" l="1"/>
  <c r="G257"/>
  <c r="F258"/>
  <c r="D308"/>
  <c r="I307"/>
  <c r="L307"/>
  <c r="X39" i="21"/>
  <c r="Z39"/>
  <c r="W39"/>
  <c r="Y39"/>
  <c r="R40"/>
  <c r="P41"/>
  <c r="J41" i="8"/>
  <c r="D42"/>
  <c r="C27" i="6"/>
  <c r="E15"/>
  <c r="D15"/>
  <c r="B49"/>
  <c r="G24" i="1"/>
  <c r="F25" s="1"/>
  <c r="C24"/>
  <c r="B25" s="1"/>
  <c r="C25" s="1"/>
  <c r="G258" i="24" l="1"/>
  <c r="F259"/>
  <c r="H258"/>
  <c r="I308"/>
  <c r="L308"/>
  <c r="D309"/>
  <c r="X40" i="21"/>
  <c r="Z40"/>
  <c r="W40"/>
  <c r="Y40"/>
  <c r="R41"/>
  <c r="P42"/>
  <c r="J42" i="8"/>
  <c r="D43"/>
  <c r="B50" i="6"/>
  <c r="L15"/>
  <c r="G15"/>
  <c r="H15"/>
  <c r="I15" s="1"/>
  <c r="J16" s="1"/>
  <c r="F15"/>
  <c r="C28"/>
  <c r="G25" i="1"/>
  <c r="F26"/>
  <c r="D310" i="24" l="1"/>
  <c r="I309"/>
  <c r="L309"/>
  <c r="H259"/>
  <c r="G259"/>
  <c r="F260"/>
  <c r="X41" i="21"/>
  <c r="Z41"/>
  <c r="W41"/>
  <c r="Y41"/>
  <c r="R42"/>
  <c r="P43"/>
  <c r="J43" i="8"/>
  <c r="D44"/>
  <c r="C29" i="6"/>
  <c r="E16"/>
  <c r="D16"/>
  <c r="B51"/>
  <c r="G26" i="1"/>
  <c r="F27"/>
  <c r="I310" i="24" l="1"/>
  <c r="L310"/>
  <c r="D311"/>
  <c r="G260"/>
  <c r="F261"/>
  <c r="H260"/>
  <c r="X42" i="21"/>
  <c r="Z42"/>
  <c r="W42"/>
  <c r="Y42"/>
  <c r="R43"/>
  <c r="P44"/>
  <c r="J44" i="8"/>
  <c r="D45"/>
  <c r="C30" i="6"/>
  <c r="B52"/>
  <c r="L16"/>
  <c r="F16"/>
  <c r="H16"/>
  <c r="I16" s="1"/>
  <c r="J17" s="1"/>
  <c r="G16"/>
  <c r="G27" i="1"/>
  <c r="F28"/>
  <c r="H261" i="24" l="1"/>
  <c r="G261"/>
  <c r="F262"/>
  <c r="D312"/>
  <c r="I311"/>
  <c r="L311"/>
  <c r="X43" i="21"/>
  <c r="Z43"/>
  <c r="W43"/>
  <c r="Y43"/>
  <c r="R44"/>
  <c r="P45"/>
  <c r="J45" i="8"/>
  <c r="D46"/>
  <c r="E17" i="6"/>
  <c r="D17"/>
  <c r="B53"/>
  <c r="C31"/>
  <c r="G28" i="1"/>
  <c r="F29"/>
  <c r="G262" i="24" l="1"/>
  <c r="F263"/>
  <c r="H262"/>
  <c r="I312"/>
  <c r="L312"/>
  <c r="D313"/>
  <c r="X44" i="21"/>
  <c r="Z44"/>
  <c r="W44"/>
  <c r="Y44"/>
  <c r="R45"/>
  <c r="P46"/>
  <c r="J46" i="8"/>
  <c r="D47"/>
  <c r="C32" i="6"/>
  <c r="B54"/>
  <c r="L17"/>
  <c r="G17"/>
  <c r="H17"/>
  <c r="I17" s="1"/>
  <c r="J18" s="1"/>
  <c r="F17"/>
  <c r="G29" i="1"/>
  <c r="F30"/>
  <c r="D314" i="24" l="1"/>
  <c r="I313"/>
  <c r="L313"/>
  <c r="H263"/>
  <c r="G263"/>
  <c r="F264"/>
  <c r="X45" i="21"/>
  <c r="Z45"/>
  <c r="W45"/>
  <c r="Y45"/>
  <c r="R46"/>
  <c r="P47"/>
  <c r="J47" i="8"/>
  <c r="D48"/>
  <c r="E18" i="6"/>
  <c r="D18"/>
  <c r="B55"/>
  <c r="C33"/>
  <c r="G30" i="1"/>
  <c r="F31"/>
  <c r="I314" i="24" l="1"/>
  <c r="L314"/>
  <c r="D315"/>
  <c r="G264"/>
  <c r="F265"/>
  <c r="H264"/>
  <c r="X46" i="21"/>
  <c r="Z46"/>
  <c r="W46"/>
  <c r="Y46"/>
  <c r="R47"/>
  <c r="P48"/>
  <c r="J48" i="8"/>
  <c r="D49"/>
  <c r="C34" i="6"/>
  <c r="B56"/>
  <c r="L18"/>
  <c r="F18"/>
  <c r="G18"/>
  <c r="H18"/>
  <c r="I18" s="1"/>
  <c r="J19" s="1"/>
  <c r="G31" i="1"/>
  <c r="F32"/>
  <c r="H265" i="24" l="1"/>
  <c r="G265"/>
  <c r="F266"/>
  <c r="D316"/>
  <c r="I315"/>
  <c r="L315"/>
  <c r="X47" i="21"/>
  <c r="Z47"/>
  <c r="W47"/>
  <c r="Y47"/>
  <c r="R48"/>
  <c r="P49"/>
  <c r="J49" i="8"/>
  <c r="D50"/>
  <c r="E19" i="6"/>
  <c r="D19"/>
  <c r="B57"/>
  <c r="C35"/>
  <c r="G32" i="1"/>
  <c r="F33"/>
  <c r="G266" i="24" l="1"/>
  <c r="F267"/>
  <c r="H266"/>
  <c r="I316"/>
  <c r="L316"/>
  <c r="D317"/>
  <c r="X48" i="21"/>
  <c r="Z48"/>
  <c r="W48"/>
  <c r="Y48"/>
  <c r="R49"/>
  <c r="P50"/>
  <c r="J50" i="8"/>
  <c r="D51"/>
  <c r="C36" i="6"/>
  <c r="B58"/>
  <c r="L19"/>
  <c r="F19"/>
  <c r="G19"/>
  <c r="H19"/>
  <c r="I19" s="1"/>
  <c r="J20" s="1"/>
  <c r="G33" i="1"/>
  <c r="F34"/>
  <c r="D318" i="24" l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I317"/>
  <c r="L317"/>
  <c r="H267"/>
  <c r="G267"/>
  <c r="F268"/>
  <c r="X49" i="21"/>
  <c r="Z49"/>
  <c r="W49"/>
  <c r="Y49"/>
  <c r="R50"/>
  <c r="P51"/>
  <c r="J51" i="8"/>
  <c r="D52"/>
  <c r="E20" i="6"/>
  <c r="D20"/>
  <c r="B59"/>
  <c r="C37"/>
  <c r="G34" i="1"/>
  <c r="F35"/>
  <c r="G268" i="24" l="1"/>
  <c r="F269"/>
  <c r="H268"/>
  <c r="X50" i="21"/>
  <c r="Z50"/>
  <c r="W50"/>
  <c r="Y50"/>
  <c r="R51"/>
  <c r="P52"/>
  <c r="J52" i="8"/>
  <c r="D53"/>
  <c r="C38" i="6"/>
  <c r="B60"/>
  <c r="L20"/>
  <c r="F20"/>
  <c r="G20"/>
  <c r="H20"/>
  <c r="I20" s="1"/>
  <c r="J21" s="1"/>
  <c r="G35" i="1"/>
  <c r="F36"/>
  <c r="H269" i="24" l="1"/>
  <c r="G269"/>
  <c r="F270"/>
  <c r="X51" i="21"/>
  <c r="Z51"/>
  <c r="W51"/>
  <c r="Y51"/>
  <c r="R52"/>
  <c r="P53"/>
  <c r="J53" i="8"/>
  <c r="D54"/>
  <c r="E21" i="6"/>
  <c r="D21"/>
  <c r="B61"/>
  <c r="C39"/>
  <c r="G36" i="1"/>
  <c r="F37"/>
  <c r="G270" i="24" l="1"/>
  <c r="F271"/>
  <c r="H270"/>
  <c r="X52" i="21"/>
  <c r="Z52"/>
  <c r="W52"/>
  <c r="Y52"/>
  <c r="R53"/>
  <c r="P54"/>
  <c r="J54" i="8"/>
  <c r="D55"/>
  <c r="C40" i="6"/>
  <c r="B62"/>
  <c r="L21"/>
  <c r="F21"/>
  <c r="G21"/>
  <c r="H21"/>
  <c r="I21" s="1"/>
  <c r="J22" s="1"/>
  <c r="G37" i="1"/>
  <c r="F38" s="1"/>
  <c r="H271" i="24" l="1"/>
  <c r="G271"/>
  <c r="F272"/>
  <c r="X53" i="21"/>
  <c r="Z53"/>
  <c r="W53"/>
  <c r="Y53"/>
  <c r="R54"/>
  <c r="P55"/>
  <c r="J55" i="8"/>
  <c r="D56"/>
  <c r="B63" i="6"/>
  <c r="C41"/>
  <c r="E22"/>
  <c r="D22"/>
  <c r="G38" i="1"/>
  <c r="F39" s="1"/>
  <c r="G272" i="24" l="1"/>
  <c r="F273"/>
  <c r="H272"/>
  <c r="X54" i="21"/>
  <c r="Z54"/>
  <c r="W54"/>
  <c r="Y54"/>
  <c r="R55"/>
  <c r="P56"/>
  <c r="J56" i="8"/>
  <c r="D57"/>
  <c r="C42" i="6"/>
  <c r="B64"/>
  <c r="L22"/>
  <c r="H22"/>
  <c r="I22" s="1"/>
  <c r="J23" s="1"/>
  <c r="F22"/>
  <c r="G22"/>
  <c r="G39" i="1"/>
  <c r="F40" s="1"/>
  <c r="H273" i="24" l="1"/>
  <c r="G273"/>
  <c r="F274"/>
  <c r="X55" i="21"/>
  <c r="Z55"/>
  <c r="W55"/>
  <c r="Y55"/>
  <c r="R56"/>
  <c r="P57"/>
  <c r="J57" i="8"/>
  <c r="D58"/>
  <c r="E23" i="6"/>
  <c r="D23"/>
  <c r="B65"/>
  <c r="C43"/>
  <c r="G40" i="1"/>
  <c r="F41" s="1"/>
  <c r="G274" i="24" l="1"/>
  <c r="F275"/>
  <c r="H274"/>
  <c r="W56" i="21"/>
  <c r="Y56"/>
  <c r="X56"/>
  <c r="Z56"/>
  <c r="R57"/>
  <c r="P58"/>
  <c r="J58" i="8"/>
  <c r="D59"/>
  <c r="C44" i="6"/>
  <c r="B66"/>
  <c r="L23"/>
  <c r="F23"/>
  <c r="G23"/>
  <c r="H23"/>
  <c r="I23" s="1"/>
  <c r="J24" s="1"/>
  <c r="G41" i="1"/>
  <c r="F42" s="1"/>
  <c r="H275" i="24" l="1"/>
  <c r="G275"/>
  <c r="F276"/>
  <c r="X57" i="21"/>
  <c r="Z57"/>
  <c r="W57"/>
  <c r="Y57"/>
  <c r="R58"/>
  <c r="P59"/>
  <c r="J59" i="8"/>
  <c r="D60"/>
  <c r="E24" i="6"/>
  <c r="D24"/>
  <c r="B67"/>
  <c r="C45"/>
  <c r="G42" i="1"/>
  <c r="F43" s="1"/>
  <c r="G276" i="24" l="1"/>
  <c r="F277"/>
  <c r="H276"/>
  <c r="X58" i="21"/>
  <c r="Z58"/>
  <c r="Y58"/>
  <c r="W58"/>
  <c r="R59"/>
  <c r="P60"/>
  <c r="J60" i="8"/>
  <c r="D61"/>
  <c r="C46" i="6"/>
  <c r="B68"/>
  <c r="L24"/>
  <c r="F24"/>
  <c r="G24"/>
  <c r="H24"/>
  <c r="I24" s="1"/>
  <c r="J25" s="1"/>
  <c r="G43" i="1"/>
  <c r="F44" s="1"/>
  <c r="H277" i="24" l="1"/>
  <c r="G277"/>
  <c r="F278"/>
  <c r="X59" i="21"/>
  <c r="Z59"/>
  <c r="W59"/>
  <c r="Y59"/>
  <c r="R60"/>
  <c r="P61"/>
  <c r="J61" i="8"/>
  <c r="D62"/>
  <c r="E25" i="6"/>
  <c r="D25"/>
  <c r="B69"/>
  <c r="C47"/>
  <c r="G44" i="1"/>
  <c r="F45" s="1"/>
  <c r="G45" s="1"/>
  <c r="G278" i="24" l="1"/>
  <c r="F279"/>
  <c r="H278"/>
  <c r="X60" i="21"/>
  <c r="Z60"/>
  <c r="W60"/>
  <c r="Y60"/>
  <c r="R61"/>
  <c r="P62"/>
  <c r="J62" i="8"/>
  <c r="D63"/>
  <c r="C48" i="6"/>
  <c r="B70"/>
  <c r="L25"/>
  <c r="F25"/>
  <c r="G25"/>
  <c r="H25"/>
  <c r="I25" s="1"/>
  <c r="J26" s="1"/>
  <c r="H279" i="24" l="1"/>
  <c r="G279"/>
  <c r="F280"/>
  <c r="X61" i="21"/>
  <c r="Z61"/>
  <c r="W61"/>
  <c r="Y61"/>
  <c r="R62"/>
  <c r="P63"/>
  <c r="J63" i="8"/>
  <c r="D64"/>
  <c r="E26" i="6"/>
  <c r="D26"/>
  <c r="B71"/>
  <c r="C49"/>
  <c r="G280" i="24" l="1"/>
  <c r="F281"/>
  <c r="H280"/>
  <c r="X62" i="21"/>
  <c r="Z62"/>
  <c r="W62"/>
  <c r="Y62"/>
  <c r="R63"/>
  <c r="P64"/>
  <c r="J64" i="8"/>
  <c r="D65"/>
  <c r="C50" i="6"/>
  <c r="B72"/>
  <c r="L26"/>
  <c r="F26"/>
  <c r="H26"/>
  <c r="I26" s="1"/>
  <c r="J27" s="1"/>
  <c r="G26"/>
  <c r="H281" i="24" l="1"/>
  <c r="G281"/>
  <c r="F282"/>
  <c r="X63" i="21"/>
  <c r="Z63"/>
  <c r="W63"/>
  <c r="Y63"/>
  <c r="R64"/>
  <c r="P65"/>
  <c r="J65" i="8"/>
  <c r="D66"/>
  <c r="E27" i="6"/>
  <c r="D27"/>
  <c r="B73"/>
  <c r="C51"/>
  <c r="G282" i="24" l="1"/>
  <c r="F283"/>
  <c r="H282"/>
  <c r="X64" i="21"/>
  <c r="Z64"/>
  <c r="W64"/>
  <c r="Y64"/>
  <c r="R65"/>
  <c r="P66"/>
  <c r="J66" i="8"/>
  <c r="D67"/>
  <c r="C52" i="6"/>
  <c r="B74"/>
  <c r="L27"/>
  <c r="G27"/>
  <c r="F27"/>
  <c r="H27"/>
  <c r="I27" s="1"/>
  <c r="J28" s="1"/>
  <c r="H283" i="24" l="1"/>
  <c r="G283"/>
  <c r="F284"/>
  <c r="X65" i="21"/>
  <c r="Z65"/>
  <c r="W65"/>
  <c r="Y65"/>
  <c r="R66"/>
  <c r="P67"/>
  <c r="J67" i="8"/>
  <c r="D68"/>
  <c r="E28" i="6"/>
  <c r="D28"/>
  <c r="B75"/>
  <c r="C53"/>
  <c r="G284" i="24" l="1"/>
  <c r="F285"/>
  <c r="H284"/>
  <c r="X66" i="21"/>
  <c r="Z66"/>
  <c r="W66"/>
  <c r="Y66"/>
  <c r="R67"/>
  <c r="P68"/>
  <c r="J68" i="8"/>
  <c r="D69"/>
  <c r="C54" i="6"/>
  <c r="B76"/>
  <c r="L28"/>
  <c r="F28"/>
  <c r="G28"/>
  <c r="H28"/>
  <c r="I28" s="1"/>
  <c r="J29" s="1"/>
  <c r="H285" i="24" l="1"/>
  <c r="G285"/>
  <c r="F286"/>
  <c r="X67" i="21"/>
  <c r="Z67"/>
  <c r="W67"/>
  <c r="Y67"/>
  <c r="R68"/>
  <c r="P69"/>
  <c r="J69" i="8"/>
  <c r="D70"/>
  <c r="B77" i="6"/>
  <c r="C55"/>
  <c r="E29"/>
  <c r="D29"/>
  <c r="G286" i="24" l="1"/>
  <c r="F287"/>
  <c r="H286"/>
  <c r="X68" i="21"/>
  <c r="Z68"/>
  <c r="W68"/>
  <c r="Y68"/>
  <c r="R69"/>
  <c r="P70"/>
  <c r="J70" i="8"/>
  <c r="D71"/>
  <c r="L29" i="6"/>
  <c r="G29"/>
  <c r="F29"/>
  <c r="H29"/>
  <c r="I29" s="1"/>
  <c r="J30" s="1"/>
  <c r="C56"/>
  <c r="B78"/>
  <c r="H287" i="24" l="1"/>
  <c r="G287"/>
  <c r="F288"/>
  <c r="X69" i="21"/>
  <c r="Z69"/>
  <c r="W69"/>
  <c r="Y69"/>
  <c r="R70"/>
  <c r="P71"/>
  <c r="J71" i="8"/>
  <c r="D72"/>
  <c r="B79" i="6"/>
  <c r="C57"/>
  <c r="E30"/>
  <c r="D30"/>
  <c r="G288" i="24" l="1"/>
  <c r="F289"/>
  <c r="H288"/>
  <c r="Y70" i="21"/>
  <c r="X70"/>
  <c r="Z70"/>
  <c r="W70"/>
  <c r="R71"/>
  <c r="P72"/>
  <c r="J72" i="8"/>
  <c r="D73"/>
  <c r="L30" i="6"/>
  <c r="H30"/>
  <c r="I30" s="1"/>
  <c r="J31" s="1"/>
  <c r="F30"/>
  <c r="G30"/>
  <c r="C58"/>
  <c r="B80"/>
  <c r="H289" i="24" l="1"/>
  <c r="G289"/>
  <c r="F290"/>
  <c r="X71" i="21"/>
  <c r="Z71"/>
  <c r="W71"/>
  <c r="Y71"/>
  <c r="R72"/>
  <c r="P73"/>
  <c r="J73" i="8"/>
  <c r="D74"/>
  <c r="B81" i="6"/>
  <c r="C59"/>
  <c r="E31"/>
  <c r="D31"/>
  <c r="G290" i="24" l="1"/>
  <c r="F291"/>
  <c r="H290"/>
  <c r="W72" i="21"/>
  <c r="Y72"/>
  <c r="X72"/>
  <c r="Z72"/>
  <c r="R73"/>
  <c r="P74"/>
  <c r="J74" i="8"/>
  <c r="D75"/>
  <c r="L31" i="6"/>
  <c r="G31"/>
  <c r="F31"/>
  <c r="H31"/>
  <c r="I31" s="1"/>
  <c r="J32" s="1"/>
  <c r="C60"/>
  <c r="B82"/>
  <c r="H291" i="24" l="1"/>
  <c r="G291"/>
  <c r="F292"/>
  <c r="X73" i="21"/>
  <c r="Z73"/>
  <c r="W73"/>
  <c r="Y73"/>
  <c r="R74"/>
  <c r="P75"/>
  <c r="J75" i="8"/>
  <c r="D76"/>
  <c r="B83" i="6"/>
  <c r="C61"/>
  <c r="E32"/>
  <c r="D32"/>
  <c r="G292" i="24" l="1"/>
  <c r="F293"/>
  <c r="H292"/>
  <c r="W74" i="21"/>
  <c r="Y74"/>
  <c r="X74"/>
  <c r="Z74"/>
  <c r="R75"/>
  <c r="P76"/>
  <c r="J76" i="8"/>
  <c r="D77"/>
  <c r="L32" i="6"/>
  <c r="H32"/>
  <c r="I32" s="1"/>
  <c r="J33" s="1"/>
  <c r="F32"/>
  <c r="G32"/>
  <c r="C62"/>
  <c r="B84"/>
  <c r="H293" i="24" l="1"/>
  <c r="G293"/>
  <c r="F294"/>
  <c r="X75" i="21"/>
  <c r="Z75"/>
  <c r="W75"/>
  <c r="Y75"/>
  <c r="R76"/>
  <c r="P77"/>
  <c r="J77" i="8"/>
  <c r="D78"/>
  <c r="B85" i="6"/>
  <c r="C63"/>
  <c r="E33"/>
  <c r="D33"/>
  <c r="G294" i="24" l="1"/>
  <c r="F295"/>
  <c r="H294"/>
  <c r="W76" i="21"/>
  <c r="Y76"/>
  <c r="X76"/>
  <c r="Z76"/>
  <c r="R77"/>
  <c r="P78"/>
  <c r="J78" i="8"/>
  <c r="D79"/>
  <c r="L33" i="6"/>
  <c r="G33"/>
  <c r="F33"/>
  <c r="H33"/>
  <c r="I33" s="1"/>
  <c r="J34" s="1"/>
  <c r="C64"/>
  <c r="B86"/>
  <c r="H295" i="24" l="1"/>
  <c r="G295"/>
  <c r="F296"/>
  <c r="X77" i="21"/>
  <c r="Z77"/>
  <c r="W77"/>
  <c r="Y77"/>
  <c r="R78"/>
  <c r="P79"/>
  <c r="J79" i="8"/>
  <c r="D80"/>
  <c r="B87" i="6"/>
  <c r="C65"/>
  <c r="E34"/>
  <c r="D34"/>
  <c r="G296" i="24" l="1"/>
  <c r="F297"/>
  <c r="H296"/>
  <c r="W78" i="21"/>
  <c r="Y78"/>
  <c r="X78"/>
  <c r="Z78"/>
  <c r="R79"/>
  <c r="P80"/>
  <c r="J80" i="8"/>
  <c r="D81"/>
  <c r="L34" i="6"/>
  <c r="H34"/>
  <c r="I34" s="1"/>
  <c r="J35" s="1"/>
  <c r="F34"/>
  <c r="G34"/>
  <c r="C66"/>
  <c r="B88"/>
  <c r="H297" i="24" l="1"/>
  <c r="G297"/>
  <c r="F298"/>
  <c r="X79" i="21"/>
  <c r="Z79"/>
  <c r="W79"/>
  <c r="Y79"/>
  <c r="R80"/>
  <c r="P81"/>
  <c r="J81" i="8"/>
  <c r="D82"/>
  <c r="C67" i="6"/>
  <c r="E35"/>
  <c r="D35"/>
  <c r="G298" i="24" l="1"/>
  <c r="F299"/>
  <c r="H298"/>
  <c r="Y80" i="21"/>
  <c r="X80"/>
  <c r="Z80"/>
  <c r="W80"/>
  <c r="R81"/>
  <c r="P82"/>
  <c r="J82" i="8"/>
  <c r="D83"/>
  <c r="L35" i="6"/>
  <c r="G35"/>
  <c r="F35"/>
  <c r="H35"/>
  <c r="I35" s="1"/>
  <c r="J36" s="1"/>
  <c r="C68"/>
  <c r="H299" i="24" l="1"/>
  <c r="G299"/>
  <c r="F300"/>
  <c r="X81" i="21"/>
  <c r="Z81"/>
  <c r="W81"/>
  <c r="Y81"/>
  <c r="R82"/>
  <c r="P83"/>
  <c r="J83" i="8"/>
  <c r="D84"/>
  <c r="C69" i="6"/>
  <c r="E36"/>
  <c r="D36"/>
  <c r="G300" i="24" l="1"/>
  <c r="F301"/>
  <c r="H300"/>
  <c r="W82" i="21"/>
  <c r="Y82"/>
  <c r="X82"/>
  <c r="Z82"/>
  <c r="R83"/>
  <c r="P84"/>
  <c r="J84" i="8"/>
  <c r="D85"/>
  <c r="L36" i="6"/>
  <c r="H36"/>
  <c r="I36" s="1"/>
  <c r="J37" s="1"/>
  <c r="F36"/>
  <c r="G36"/>
  <c r="C70"/>
  <c r="H301" i="24" l="1"/>
  <c r="G301"/>
  <c r="F302"/>
  <c r="X83" i="21"/>
  <c r="Z83"/>
  <c r="W83"/>
  <c r="Y83"/>
  <c r="R84"/>
  <c r="P85"/>
  <c r="J85" i="8"/>
  <c r="D86"/>
  <c r="C71" i="6"/>
  <c r="E37"/>
  <c r="D37"/>
  <c r="G302" i="24" l="1"/>
  <c r="F303"/>
  <c r="H302"/>
  <c r="W84" i="21"/>
  <c r="Y84"/>
  <c r="X84"/>
  <c r="Z84"/>
  <c r="R85"/>
  <c r="P86"/>
  <c r="J86" i="8"/>
  <c r="D87"/>
  <c r="L37" i="6"/>
  <c r="G37"/>
  <c r="F37"/>
  <c r="H37"/>
  <c r="I37" s="1"/>
  <c r="J38" s="1"/>
  <c r="C72"/>
  <c r="H303" i="24" l="1"/>
  <c r="G303"/>
  <c r="F304"/>
  <c r="X85" i="21"/>
  <c r="Z85"/>
  <c r="W85"/>
  <c r="Y85"/>
  <c r="R86"/>
  <c r="P87"/>
  <c r="J87" i="8"/>
  <c r="D88"/>
  <c r="C73" i="6"/>
  <c r="E38"/>
  <c r="D38"/>
  <c r="G304" i="24" l="1"/>
  <c r="F305"/>
  <c r="H304"/>
  <c r="W86" i="21"/>
  <c r="Y86"/>
  <c r="X86"/>
  <c r="Z86"/>
  <c r="R87"/>
  <c r="P88"/>
  <c r="J88" i="8"/>
  <c r="D89"/>
  <c r="L38" i="6"/>
  <c r="F38"/>
  <c r="G38"/>
  <c r="H38"/>
  <c r="I38" s="1"/>
  <c r="J39" s="1"/>
  <c r="C74"/>
  <c r="H305" i="24" l="1"/>
  <c r="G305"/>
  <c r="F306"/>
  <c r="X87" i="21"/>
  <c r="Z87"/>
  <c r="W87"/>
  <c r="Y87"/>
  <c r="R88"/>
  <c r="P89"/>
  <c r="J89" i="8"/>
  <c r="D90"/>
  <c r="C75" i="6"/>
  <c r="E39"/>
  <c r="D39"/>
  <c r="G306" i="24" l="1"/>
  <c r="F307"/>
  <c r="H306"/>
  <c r="W88" i="21"/>
  <c r="Y88"/>
  <c r="X88"/>
  <c r="Z88"/>
  <c r="R89"/>
  <c r="P90"/>
  <c r="J90" i="8"/>
  <c r="D91"/>
  <c r="L39" i="6"/>
  <c r="F39"/>
  <c r="H39"/>
  <c r="I39" s="1"/>
  <c r="J40" s="1"/>
  <c r="G39"/>
  <c r="C76"/>
  <c r="H307" i="24" l="1"/>
  <c r="G307"/>
  <c r="F308"/>
  <c r="X89" i="21"/>
  <c r="Z89"/>
  <c r="W89"/>
  <c r="Y89"/>
  <c r="R90"/>
  <c r="P91"/>
  <c r="J91" i="8"/>
  <c r="D92"/>
  <c r="C77" i="6"/>
  <c r="E40"/>
  <c r="D40"/>
  <c r="G308" i="24" l="1"/>
  <c r="F309"/>
  <c r="H308"/>
  <c r="W90" i="21"/>
  <c r="Y90"/>
  <c r="X90"/>
  <c r="Z90"/>
  <c r="R91"/>
  <c r="P92"/>
  <c r="J92" i="8"/>
  <c r="D93"/>
  <c r="L40" i="6"/>
  <c r="F40"/>
  <c r="G40"/>
  <c r="H40"/>
  <c r="I40" s="1"/>
  <c r="J41" s="1"/>
  <c r="C78"/>
  <c r="H309" i="24" l="1"/>
  <c r="G309"/>
  <c r="F310"/>
  <c r="X91" i="21"/>
  <c r="Z91"/>
  <c r="W91"/>
  <c r="Y91"/>
  <c r="R92"/>
  <c r="P93"/>
  <c r="J93" i="8"/>
  <c r="D94"/>
  <c r="C79" i="6"/>
  <c r="E41"/>
  <c r="D41"/>
  <c r="G310" i="24" l="1"/>
  <c r="F311"/>
  <c r="H310"/>
  <c r="Y92" i="21"/>
  <c r="X92"/>
  <c r="Z92"/>
  <c r="W92"/>
  <c r="R93"/>
  <c r="P94"/>
  <c r="J94" i="8"/>
  <c r="D95"/>
  <c r="L41" i="6"/>
  <c r="G41"/>
  <c r="F41"/>
  <c r="H41"/>
  <c r="I41" s="1"/>
  <c r="J42" s="1"/>
  <c r="C80"/>
  <c r="H311" i="24" l="1"/>
  <c r="G311"/>
  <c r="F312"/>
  <c r="X93" i="21"/>
  <c r="Z93"/>
  <c r="W93"/>
  <c r="Y93"/>
  <c r="R94"/>
  <c r="P95"/>
  <c r="J95" i="8"/>
  <c r="D96"/>
  <c r="C81" i="6"/>
  <c r="E42"/>
  <c r="D42"/>
  <c r="G312" i="24" l="1"/>
  <c r="F313"/>
  <c r="H312"/>
  <c r="Y94" i="21"/>
  <c r="X94"/>
  <c r="Z94"/>
  <c r="W94"/>
  <c r="R95"/>
  <c r="P96"/>
  <c r="J96" i="8"/>
  <c r="D97"/>
  <c r="L42" i="6"/>
  <c r="H42"/>
  <c r="I42" s="1"/>
  <c r="J43" s="1"/>
  <c r="F42"/>
  <c r="G42"/>
  <c r="C82"/>
  <c r="H313" i="24" l="1"/>
  <c r="G313"/>
  <c r="F314"/>
  <c r="X95" i="21"/>
  <c r="Z95"/>
  <c r="W95"/>
  <c r="Y95"/>
  <c r="R96"/>
  <c r="P97"/>
  <c r="J97" i="8"/>
  <c r="D98"/>
  <c r="C83" i="6"/>
  <c r="E43"/>
  <c r="D43"/>
  <c r="G314" i="24" l="1"/>
  <c r="F315"/>
  <c r="H314"/>
  <c r="W96" i="21"/>
  <c r="Y96"/>
  <c r="X96"/>
  <c r="Z96"/>
  <c r="R97"/>
  <c r="P98"/>
  <c r="J98" i="8"/>
  <c r="D99"/>
  <c r="L43" i="6"/>
  <c r="G43"/>
  <c r="F43"/>
  <c r="H43"/>
  <c r="I43" s="1"/>
  <c r="J44" s="1"/>
  <c r="C84"/>
  <c r="H315" i="24" l="1"/>
  <c r="G315"/>
  <c r="F316"/>
  <c r="X97" i="21"/>
  <c r="Z97"/>
  <c r="W97"/>
  <c r="Y97"/>
  <c r="R98"/>
  <c r="P99"/>
  <c r="J99" i="8"/>
  <c r="D100"/>
  <c r="C85" i="6"/>
  <c r="E44"/>
  <c r="D44"/>
  <c r="G316" i="24" l="1"/>
  <c r="F317"/>
  <c r="H316"/>
  <c r="W98" i="21"/>
  <c r="Y98"/>
  <c r="X98"/>
  <c r="Z98"/>
  <c r="R99"/>
  <c r="P100"/>
  <c r="J100" i="8"/>
  <c r="D101"/>
  <c r="L44" i="6"/>
  <c r="H44"/>
  <c r="I44" s="1"/>
  <c r="J45" s="1"/>
  <c r="F44"/>
  <c r="G44"/>
  <c r="C86"/>
  <c r="H317" i="24" l="1"/>
  <c r="G317"/>
  <c r="F318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X99" i="21"/>
  <c r="Z99"/>
  <c r="W99"/>
  <c r="Y99"/>
  <c r="R100"/>
  <c r="P101"/>
  <c r="J101" i="8"/>
  <c r="D102"/>
  <c r="C87" i="6"/>
  <c r="E45"/>
  <c r="D45"/>
  <c r="W100" i="21" l="1"/>
  <c r="Y100"/>
  <c r="X100"/>
  <c r="Z100"/>
  <c r="R101"/>
  <c r="P102"/>
  <c r="J102" i="8"/>
  <c r="D103"/>
  <c r="L45" i="6"/>
  <c r="G45"/>
  <c r="F45"/>
  <c r="H45"/>
  <c r="I45" s="1"/>
  <c r="J46" s="1"/>
  <c r="C88"/>
  <c r="X101" i="21" l="1"/>
  <c r="Z101"/>
  <c r="W101"/>
  <c r="Y101"/>
  <c r="R102"/>
  <c r="P103"/>
  <c r="J103" i="8"/>
  <c r="D104"/>
  <c r="E46" i="6"/>
  <c r="D46"/>
  <c r="W102" i="21" l="1"/>
  <c r="Y102"/>
  <c r="X102"/>
  <c r="Z102"/>
  <c r="R103"/>
  <c r="P104"/>
  <c r="J104" i="8"/>
  <c r="D105"/>
  <c r="L46" i="6"/>
  <c r="H46"/>
  <c r="I46" s="1"/>
  <c r="J47" s="1"/>
  <c r="F46"/>
  <c r="G46"/>
  <c r="X103" i="21" l="1"/>
  <c r="Z103"/>
  <c r="W103"/>
  <c r="Y103"/>
  <c r="R104"/>
  <c r="P105"/>
  <c r="J105" i="8"/>
  <c r="D106"/>
  <c r="E47" i="6"/>
  <c r="D47"/>
  <c r="W104" i="21" l="1"/>
  <c r="Y104"/>
  <c r="X104"/>
  <c r="Z104"/>
  <c r="R105"/>
  <c r="P106"/>
  <c r="J106" i="8"/>
  <c r="D107"/>
  <c r="L47" i="6"/>
  <c r="G47"/>
  <c r="F47"/>
  <c r="H47"/>
  <c r="I47" s="1"/>
  <c r="J48" s="1"/>
  <c r="X105" i="21" l="1"/>
  <c r="Z105"/>
  <c r="W105"/>
  <c r="Y105"/>
  <c r="R106"/>
  <c r="P107"/>
  <c r="J107" i="8"/>
  <c r="D108"/>
  <c r="E48" i="6"/>
  <c r="D48"/>
  <c r="W106" i="21" l="1"/>
  <c r="Y106"/>
  <c r="X106"/>
  <c r="Z106"/>
  <c r="R107"/>
  <c r="P108"/>
  <c r="J108" i="8"/>
  <c r="D109"/>
  <c r="L48" i="6"/>
  <c r="H48"/>
  <c r="I48" s="1"/>
  <c r="J49" s="1"/>
  <c r="F48"/>
  <c r="G48"/>
  <c r="X107" i="21" l="1"/>
  <c r="Z107"/>
  <c r="W107"/>
  <c r="Y107"/>
  <c r="R108"/>
  <c r="P109"/>
  <c r="J109" i="8"/>
  <c r="D110"/>
  <c r="E49" i="6"/>
  <c r="D49"/>
  <c r="Y108" i="21" l="1"/>
  <c r="X108"/>
  <c r="Z108"/>
  <c r="W108"/>
  <c r="R109"/>
  <c r="P110"/>
  <c r="J110" i="8"/>
  <c r="D111"/>
  <c r="L49" i="6"/>
  <c r="G49"/>
  <c r="F49"/>
  <c r="H49"/>
  <c r="I49" s="1"/>
  <c r="J50" s="1"/>
  <c r="X109" i="21" l="1"/>
  <c r="Z109"/>
  <c r="W109"/>
  <c r="Y109"/>
  <c r="R110"/>
  <c r="P111"/>
  <c r="J111" i="8"/>
  <c r="D112"/>
  <c r="E50" i="6"/>
  <c r="D50"/>
  <c r="W110" i="21" l="1"/>
  <c r="Y110"/>
  <c r="X110"/>
  <c r="Z110"/>
  <c r="R111"/>
  <c r="P112"/>
  <c r="J112" i="8"/>
  <c r="D113"/>
  <c r="L50" i="6"/>
  <c r="H50"/>
  <c r="I50" s="1"/>
  <c r="J51" s="1"/>
  <c r="F50"/>
  <c r="G50"/>
  <c r="X111" i="21" l="1"/>
  <c r="Z111"/>
  <c r="W111"/>
  <c r="Y111"/>
  <c r="R112"/>
  <c r="P113"/>
  <c r="J113" i="8"/>
  <c r="D114"/>
  <c r="E51" i="6"/>
  <c r="D51"/>
  <c r="Y112" i="21" l="1"/>
  <c r="X112"/>
  <c r="Z112"/>
  <c r="W112"/>
  <c r="R113"/>
  <c r="P114"/>
  <c r="J114" i="8"/>
  <c r="D115"/>
  <c r="L51" i="6"/>
  <c r="G51"/>
  <c r="F51"/>
  <c r="H51"/>
  <c r="I51" s="1"/>
  <c r="J52" s="1"/>
  <c r="X113" i="21" l="1"/>
  <c r="Z113"/>
  <c r="W113"/>
  <c r="Y113"/>
  <c r="R114"/>
  <c r="P115"/>
  <c r="J115" i="8"/>
  <c r="D116"/>
  <c r="J116" s="1"/>
  <c r="E52" i="6"/>
  <c r="D52"/>
  <c r="X114" i="21" l="1"/>
  <c r="Z114"/>
  <c r="W114"/>
  <c r="Y114"/>
  <c r="R115"/>
  <c r="P116"/>
  <c r="R116" s="1"/>
  <c r="L52" i="6"/>
  <c r="F52"/>
  <c r="G52"/>
  <c r="H52"/>
  <c r="I52" s="1"/>
  <c r="J53" s="1"/>
  <c r="X115" i="21" l="1"/>
  <c r="Z115"/>
  <c r="W115"/>
  <c r="Y115"/>
  <c r="Y116"/>
  <c r="X116"/>
  <c r="Z116"/>
  <c r="W116"/>
  <c r="E53" i="6"/>
  <c r="D53"/>
  <c r="L53" l="1"/>
  <c r="F53"/>
  <c r="H53"/>
  <c r="I53" s="1"/>
  <c r="J54" s="1"/>
  <c r="G53"/>
  <c r="E54" l="1"/>
  <c r="D54"/>
  <c r="L54" l="1"/>
  <c r="H54"/>
  <c r="I54" s="1"/>
  <c r="J55" s="1"/>
  <c r="F54"/>
  <c r="G54"/>
  <c r="E55" l="1"/>
  <c r="D55"/>
  <c r="L55" l="1"/>
  <c r="G55"/>
  <c r="F55"/>
  <c r="H55"/>
  <c r="I55" s="1"/>
  <c r="J56" s="1"/>
  <c r="E56" l="1"/>
  <c r="D56"/>
  <c r="L56" l="1"/>
  <c r="H56"/>
  <c r="I56" s="1"/>
  <c r="J57" s="1"/>
  <c r="F56"/>
  <c r="G56"/>
  <c r="E57" l="1"/>
  <c r="D57"/>
  <c r="L57" l="1"/>
  <c r="H57"/>
  <c r="I57" s="1"/>
  <c r="J58" s="1"/>
  <c r="G57"/>
  <c r="F57"/>
  <c r="E58" l="1"/>
  <c r="D58"/>
  <c r="L58" l="1"/>
  <c r="H58"/>
  <c r="I58" s="1"/>
  <c r="J59" s="1"/>
  <c r="F58"/>
  <c r="G58"/>
  <c r="E59" l="1"/>
  <c r="D59"/>
  <c r="L59" l="1"/>
  <c r="G59"/>
  <c r="F59"/>
  <c r="H59"/>
  <c r="I59" s="1"/>
  <c r="J60" s="1"/>
  <c r="E60" l="1"/>
  <c r="D60"/>
  <c r="L60" l="1"/>
  <c r="H60"/>
  <c r="I60" s="1"/>
  <c r="J61" s="1"/>
  <c r="F60"/>
  <c r="G60"/>
  <c r="E61" l="1"/>
  <c r="D61"/>
  <c r="L61" l="1"/>
  <c r="F61"/>
  <c r="G61"/>
  <c r="H61"/>
  <c r="I61" s="1"/>
  <c r="J62" s="1"/>
  <c r="E62" l="1"/>
  <c r="D62"/>
  <c r="L62" l="1"/>
  <c r="H62"/>
  <c r="I62" s="1"/>
  <c r="J63" s="1"/>
  <c r="F62"/>
  <c r="G62"/>
  <c r="E63" l="1"/>
  <c r="D63"/>
  <c r="L63" l="1"/>
  <c r="G63"/>
  <c r="F63"/>
  <c r="H63"/>
  <c r="I63" s="1"/>
  <c r="J64" s="1"/>
  <c r="E64" l="1"/>
  <c r="D64"/>
  <c r="L64" l="1"/>
  <c r="H64"/>
  <c r="I64" s="1"/>
  <c r="J65" s="1"/>
  <c r="F64"/>
  <c r="G64"/>
  <c r="E65" l="1"/>
  <c r="D65"/>
  <c r="L65" l="1"/>
  <c r="H65"/>
  <c r="I65" s="1"/>
  <c r="J66" s="1"/>
  <c r="G65"/>
  <c r="F65"/>
  <c r="E66" l="1"/>
  <c r="D66"/>
  <c r="L66" l="1"/>
  <c r="H66"/>
  <c r="I66" s="1"/>
  <c r="J67" s="1"/>
  <c r="F66"/>
  <c r="G66"/>
  <c r="E67" l="1"/>
  <c r="D67"/>
  <c r="L67" l="1"/>
  <c r="G67"/>
  <c r="F67"/>
  <c r="H67"/>
  <c r="I67" s="1"/>
  <c r="J68" s="1"/>
  <c r="E68" l="1"/>
  <c r="D68"/>
  <c r="L68" l="1"/>
  <c r="H68"/>
  <c r="I68" s="1"/>
  <c r="J69" s="1"/>
  <c r="F68"/>
  <c r="G68"/>
  <c r="E69" l="1"/>
  <c r="D69"/>
  <c r="L69" l="1"/>
  <c r="H69"/>
  <c r="I69" s="1"/>
  <c r="J70" s="1"/>
  <c r="G69"/>
  <c r="F69"/>
  <c r="E70" l="1"/>
  <c r="D70"/>
  <c r="L70" l="1"/>
  <c r="H70"/>
  <c r="I70" s="1"/>
  <c r="J71" s="1"/>
  <c r="F70"/>
  <c r="G70"/>
  <c r="E71" l="1"/>
  <c r="D71"/>
  <c r="L71" l="1"/>
  <c r="G71"/>
  <c r="F71"/>
  <c r="H71"/>
  <c r="I71" s="1"/>
  <c r="J72" s="1"/>
  <c r="E72" l="1"/>
  <c r="D72"/>
  <c r="L72" l="1"/>
  <c r="H72"/>
  <c r="I72" s="1"/>
  <c r="J73" s="1"/>
  <c r="F72"/>
  <c r="G72"/>
  <c r="E73" l="1"/>
  <c r="D73"/>
  <c r="L73" l="1"/>
  <c r="G73"/>
  <c r="F73"/>
  <c r="H73"/>
  <c r="I73" s="1"/>
  <c r="J74" s="1"/>
  <c r="E74" l="1"/>
  <c r="D74"/>
  <c r="L74" l="1"/>
  <c r="H74"/>
  <c r="I74" s="1"/>
  <c r="J75" s="1"/>
  <c r="F74"/>
  <c r="G74"/>
  <c r="E75" l="1"/>
  <c r="D75"/>
  <c r="L75" l="1"/>
  <c r="F75"/>
  <c r="G75"/>
  <c r="H75"/>
  <c r="I75" s="1"/>
  <c r="J76" s="1"/>
  <c r="E76" l="1"/>
  <c r="D76"/>
  <c r="L76" l="1"/>
  <c r="H76"/>
  <c r="I76" s="1"/>
  <c r="J77" s="1"/>
  <c r="F76"/>
  <c r="G76"/>
  <c r="E77" l="1"/>
  <c r="D77"/>
  <c r="L77" l="1"/>
  <c r="G77"/>
  <c r="F77"/>
  <c r="H77"/>
  <c r="I77" s="1"/>
  <c r="J78" s="1"/>
  <c r="E78" l="1"/>
  <c r="D78"/>
  <c r="L78" l="1"/>
  <c r="H78"/>
  <c r="I78" s="1"/>
  <c r="J79" s="1"/>
  <c r="F78"/>
  <c r="G78"/>
  <c r="E79" l="1"/>
  <c r="D79"/>
  <c r="L79" l="1"/>
  <c r="G79"/>
  <c r="F79"/>
  <c r="H79"/>
  <c r="I79" s="1"/>
  <c r="J80" s="1"/>
  <c r="E80" l="1"/>
  <c r="D80"/>
  <c r="L80" l="1"/>
  <c r="H80"/>
  <c r="I80" s="1"/>
  <c r="J81" s="1"/>
  <c r="F80"/>
  <c r="G80"/>
  <c r="E81" l="1"/>
  <c r="D81"/>
  <c r="L81" l="1"/>
  <c r="F81"/>
  <c r="G81"/>
  <c r="H81"/>
  <c r="I81" s="1"/>
  <c r="J82" s="1"/>
  <c r="E82" l="1"/>
  <c r="D82"/>
  <c r="L82" l="1"/>
  <c r="H82"/>
  <c r="I82" s="1"/>
  <c r="J83" s="1"/>
  <c r="F82"/>
  <c r="G82"/>
  <c r="E83" l="1"/>
  <c r="D83"/>
  <c r="L83" l="1"/>
  <c r="G83"/>
  <c r="F83"/>
  <c r="H83"/>
  <c r="I83" s="1"/>
  <c r="J84" s="1"/>
  <c r="E84" l="1"/>
  <c r="D84"/>
  <c r="L84" l="1"/>
  <c r="H84"/>
  <c r="I84" s="1"/>
  <c r="J85" s="1"/>
  <c r="F84"/>
  <c r="G84"/>
  <c r="E85" l="1"/>
  <c r="D85"/>
  <c r="L85" l="1"/>
  <c r="H85"/>
  <c r="I85" s="1"/>
  <c r="J86" s="1"/>
  <c r="G85"/>
  <c r="F85"/>
  <c r="E86" l="1"/>
  <c r="D86"/>
  <c r="L86" l="1"/>
  <c r="H86"/>
  <c r="I86" s="1"/>
  <c r="J87" s="1"/>
  <c r="F86"/>
  <c r="G86"/>
  <c r="E87" l="1"/>
  <c r="D87"/>
  <c r="L87" l="1"/>
  <c r="G87"/>
  <c r="F87"/>
  <c r="H87"/>
  <c r="I87" s="1"/>
  <c r="J88" s="1"/>
  <c r="E88" l="1"/>
  <c r="D88"/>
  <c r="L88" l="1"/>
  <c r="G88"/>
  <c r="F88"/>
  <c r="H88"/>
  <c r="I88" s="1"/>
</calcChain>
</file>

<file path=xl/comments1.xml><?xml version="1.0" encoding="utf-8"?>
<comments xmlns="http://schemas.openxmlformats.org/spreadsheetml/2006/main">
  <authors>
    <author>g1frv00</author>
  </authors>
  <commentList>
    <comment ref="D76" authorId="0">
      <text>
        <r>
          <rPr>
            <b/>
            <sz val="9"/>
            <color indexed="81"/>
            <rFont val="Tahoma"/>
            <family val="2"/>
          </rPr>
          <t>JPE 1995 graph has a data point here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JPE 1995 graph has a data point here</t>
        </r>
      </text>
    </comment>
  </commentList>
</comments>
</file>

<file path=xl/sharedStrings.xml><?xml version="1.0" encoding="utf-8"?>
<sst xmlns="http://schemas.openxmlformats.org/spreadsheetml/2006/main" count="559" uniqueCount="336">
  <si>
    <t>rate=</t>
  </si>
  <si>
    <t>yr</t>
  </si>
  <si>
    <t>owed</t>
  </si>
  <si>
    <t xml:space="preserve"> reimb</t>
  </si>
  <si>
    <t>rate=</t>
  </si>
  <si>
    <t>at 6%</t>
  </si>
  <si>
    <t>at 5.5%</t>
  </si>
  <si>
    <t>years of amortization</t>
  </si>
  <si>
    <t>perpetuel</t>
  </si>
  <si>
    <t>4.5%</t>
  </si>
  <si>
    <t>5.0%</t>
  </si>
  <si>
    <t>5.5%</t>
  </si>
  <si>
    <t>6.0%</t>
  </si>
  <si>
    <t>6.5%</t>
  </si>
  <si>
    <t>7.0%</t>
  </si>
  <si>
    <t>7.5%</t>
  </si>
  <si>
    <t>viager</t>
  </si>
  <si>
    <t>France</t>
  </si>
  <si>
    <t>avg</t>
  </si>
  <si>
    <t>1=1726</t>
  </si>
  <si>
    <t>10-yr avg</t>
  </si>
  <si>
    <t>Rousseaux</t>
  </si>
  <si>
    <t>Sch-G(cons)</t>
  </si>
  <si>
    <t>(in 1000)</t>
  </si>
  <si>
    <t>) par val</t>
  </si>
  <si>
    <t>(McCusker,Bouchary)</t>
  </si>
  <si>
    <t>(millions #)</t>
  </si>
  <si>
    <t>id.(France)</t>
  </si>
  <si>
    <t>rl tax/cap</t>
  </si>
  <si>
    <t>France in #</t>
  </si>
  <si>
    <t>tax/cap.</t>
  </si>
  <si>
    <t>prices</t>
  </si>
  <si>
    <t>popul(2)</t>
  </si>
  <si>
    <t>population</t>
  </si>
  <si>
    <t>exchge(pence/3 livre ecu)</t>
  </si>
  <si>
    <t>debt/GNP</t>
  </si>
  <si>
    <t>nom. GNP</t>
  </si>
  <si>
    <t>debt</t>
  </si>
  <si>
    <t>share</t>
  </si>
  <si>
    <t>debt serv</t>
  </si>
  <si>
    <t>tax revenue</t>
  </si>
  <si>
    <t>Britain</t>
  </si>
  <si>
    <t>delta</t>
  </si>
  <si>
    <t>report" in Cambon</t>
  </si>
  <si>
    <t>true "report"</t>
  </si>
  <si>
    <t>total in Cambon</t>
  </si>
  <si>
    <t>true total</t>
  </si>
  <si>
    <t>a * represents a point of discrepancy in the tables</t>
  </si>
  <si>
    <t>*</t>
  </si>
  <si>
    <t>in 1794</t>
  </si>
  <si>
    <t>extinctions</t>
  </si>
  <si>
    <t>in 1787</t>
  </si>
  <si>
    <t>Jan 12 1794</t>
  </si>
  <si>
    <t>Jan 1 1787</t>
  </si>
  <si>
    <t>FTontine</t>
  </si>
  <si>
    <t>Age</t>
  </si>
  <si>
    <t>as in Cambon's table</t>
  </si>
  <si>
    <t>corrected figures from Cambon</t>
  </si>
  <si>
    <t>total</t>
  </si>
  <si>
    <t>pensions</t>
  </si>
  <si>
    <t>average=</t>
  </si>
  <si>
    <t>(from path2.wk1)</t>
  </si>
  <si>
    <t>(10-avg)</t>
  </si>
  <si>
    <t>estimate</t>
  </si>
  <si>
    <t>index-&gt;</t>
  </si>
  <si>
    <t>5-avg-&gt;</t>
  </si>
  <si>
    <t>Labrousse</t>
  </si>
  <si>
    <t>Money index</t>
  </si>
  <si>
    <t>interest</t>
  </si>
  <si>
    <t>payments</t>
  </si>
  <si>
    <t>viagere</t>
  </si>
  <si>
    <t>perpet.</t>
  </si>
  <si>
    <t>d.constit</t>
  </si>
  <si>
    <t>id.Britain</t>
  </si>
  <si>
    <t xml:space="preserve"> % taxes</t>
  </si>
  <si>
    <t>debt servc</t>
  </si>
  <si>
    <t>debt/cap</t>
  </si>
  <si>
    <t>totaldebt</t>
  </si>
  <si>
    <t>borrowg</t>
  </si>
  <si>
    <t>real tx/c</t>
  </si>
  <si>
    <t>real rev</t>
  </si>
  <si>
    <t>price</t>
  </si>
  <si>
    <t>idem:</t>
  </si>
  <si>
    <t>wheat</t>
  </si>
  <si>
    <t>tax/cap</t>
  </si>
  <si>
    <t>tax revenues</t>
  </si>
  <si>
    <t>(Necker)</t>
  </si>
  <si>
    <t>outlay</t>
  </si>
  <si>
    <t>capital</t>
  </si>
  <si>
    <t>reimbursmt</t>
  </si>
  <si>
    <t>total outlay</t>
  </si>
  <si>
    <t xml:space="preserve"> interest</t>
  </si>
  <si>
    <t>reimburs</t>
  </si>
  <si>
    <t>Change FranceBourbon</t>
  </si>
  <si>
    <t>MercoeurSenonches</t>
  </si>
  <si>
    <t>PapiersCartons</t>
  </si>
  <si>
    <t>Chaussade</t>
  </si>
  <si>
    <t>M.duRoi</t>
  </si>
  <si>
    <t>Rente&lt;12</t>
  </si>
  <si>
    <t>100e denier</t>
  </si>
  <si>
    <t>Fiacres</t>
  </si>
  <si>
    <t>Escompte</t>
  </si>
  <si>
    <t>Notaires</t>
  </si>
  <si>
    <t>Offices MdRoi</t>
  </si>
  <si>
    <t>Clerge</t>
  </si>
  <si>
    <t>Rescriptions</t>
  </si>
  <si>
    <t>Billets des Fermes</t>
  </si>
  <si>
    <t>Indes shares</t>
  </si>
  <si>
    <t>total divers</t>
  </si>
  <si>
    <t>actual</t>
  </si>
  <si>
    <t>int/debt</t>
  </si>
  <si>
    <t>deficit</t>
  </si>
  <si>
    <t>exp+int</t>
  </si>
  <si>
    <t>spendg</t>
  </si>
  <si>
    <t>reimb.</t>
  </si>
  <si>
    <t>expenses</t>
  </si>
  <si>
    <t>revenue</t>
  </si>
  <si>
    <t xml:space="preserve"> +finance</t>
  </si>
  <si>
    <t>+etranger</t>
  </si>
  <si>
    <t>+p.etat</t>
  </si>
  <si>
    <t xml:space="preserve"> id+empr</t>
  </si>
  <si>
    <t>constitue</t>
  </si>
  <si>
    <t xml:space="preserve">  p.Etat</t>
  </si>
  <si>
    <t xml:space="preserve"> etranger</t>
  </si>
  <si>
    <t xml:space="preserve"> emprunts</t>
  </si>
  <si>
    <t xml:space="preserve"> finance</t>
  </si>
  <si>
    <t>Necker's legacy</t>
  </si>
  <si>
    <t>anticip.</t>
  </si>
  <si>
    <t>divers</t>
  </si>
  <si>
    <t xml:space="preserve">    Age </t>
  </si>
  <si>
    <t>denier</t>
  </si>
  <si>
    <t>IRR</t>
  </si>
  <si>
    <t>log(money)</t>
  </si>
  <si>
    <t>money</t>
  </si>
  <si>
    <t>price avg</t>
  </si>
  <si>
    <t>rate</t>
  </si>
  <si>
    <t>date</t>
  </si>
  <si>
    <t>1807-1946)</t>
  </si>
  <si>
    <t>assignats-&gt;1795</t>
  </si>
  <si>
    <t>10-yr avg)</t>
  </si>
  <si>
    <t>BdeFrance</t>
  </si>
  <si>
    <t>(C.Escpte-&gt;1789</t>
  </si>
  <si>
    <t>(from p-index [DWeir]</t>
  </si>
  <si>
    <t>(in pounds)</t>
  </si>
  <si>
    <t>surplus</t>
  </si>
  <si>
    <t>income</t>
  </si>
  <si>
    <t>service</t>
  </si>
  <si>
    <t>civil</t>
  </si>
  <si>
    <t>(23L/pd)</t>
  </si>
  <si>
    <t>military</t>
  </si>
  <si>
    <t>Ordnance</t>
  </si>
  <si>
    <t>Navy</t>
  </si>
  <si>
    <t>Army</t>
  </si>
  <si>
    <t>(avg of monthly values of silver)</t>
  </si>
  <si>
    <t>1698 L)</t>
  </si>
  <si>
    <t>1727 L)</t>
  </si>
  <si>
    <t>affairs</t>
  </si>
  <si>
    <t>spending</t>
  </si>
  <si>
    <t>debt+civil</t>
  </si>
  <si>
    <t>spdg+debt serv</t>
  </si>
  <si>
    <t>tax</t>
  </si>
  <si>
    <t>idem in L</t>
  </si>
  <si>
    <t>monetary index</t>
  </si>
  <si>
    <t>idem (in</t>
  </si>
  <si>
    <t>total (in</t>
  </si>
  <si>
    <t>foreign</t>
  </si>
  <si>
    <t>Age   WS 11  ETontine    NW5 FTontine</t>
  </si>
  <si>
    <t>capital owed</t>
  </si>
  <si>
    <t>at 5%</t>
  </si>
  <si>
    <t>at 4%</t>
  </si>
  <si>
    <t>pre-1766</t>
  </si>
  <si>
    <t>total payment</t>
  </si>
  <si>
    <t>interest paymt</t>
  </si>
  <si>
    <t>ts emprunts</t>
  </si>
  <si>
    <t>+finance</t>
  </si>
  <si>
    <t>id+empr</t>
  </si>
  <si>
    <t>p.Etat</t>
  </si>
  <si>
    <t>etranger</t>
  </si>
  <si>
    <t>emprunts</t>
  </si>
  <si>
    <t>finance</t>
  </si>
  <si>
    <t>path</t>
  </si>
  <si>
    <t xml:space="preserve">   rate</t>
  </si>
  <si>
    <t>net loans</t>
  </si>
  <si>
    <t>loans</t>
  </si>
  <si>
    <t>virtual</t>
  </si>
  <si>
    <t>added</t>
  </si>
  <si>
    <t>reimbursemts</t>
  </si>
  <si>
    <t>file White, column H from path2.</t>
  </si>
  <si>
    <t>1776-1788 had been borrowed in perpetuals at market rate. Column C from</t>
  </si>
  <si>
    <t>This file contains "what if" calculations : suppose all new debt between</t>
  </si>
  <si>
    <t>+Etats P.</t>
  </si>
  <si>
    <t>+Parme</t>
  </si>
  <si>
    <t>Hanse&amp;Simplon</t>
  </si>
  <si>
    <t>Hollande</t>
  </si>
  <si>
    <t>Toscane</t>
  </si>
  <si>
    <t>Genes</t>
  </si>
  <si>
    <t>Piemont</t>
  </si>
  <si>
    <t>Rhin</t>
  </si>
  <si>
    <t>Belgium</t>
  </si>
  <si>
    <t>Empire</t>
  </si>
  <si>
    <t>high</t>
  </si>
  <si>
    <t>low</t>
  </si>
  <si>
    <t>the 5% rente</t>
  </si>
  <si>
    <t>(then rente5%)</t>
  </si>
  <si>
    <t>Octobre</t>
  </si>
  <si>
    <t>anterieur</t>
  </si>
  <si>
    <t>1e classe</t>
  </si>
  <si>
    <t xml:space="preserve">  3e</t>
  </si>
  <si>
    <t xml:space="preserve">  2e</t>
  </si>
  <si>
    <t>titulaires</t>
  </si>
  <si>
    <t>mortalite</t>
  </si>
  <si>
    <t>table</t>
  </si>
  <si>
    <t>util/viv</t>
  </si>
  <si>
    <t>connues+</t>
  </si>
  <si>
    <t>ext/viv</t>
  </si>
  <si>
    <t>ttes classes</t>
  </si>
  <si>
    <t>extinctions :</t>
  </si>
  <si>
    <t>deparcieux:</t>
  </si>
  <si>
    <t>rapport</t>
  </si>
  <si>
    <t>utiles</t>
  </si>
  <si>
    <t>rentiers vivants:</t>
  </si>
  <si>
    <t>totales</t>
  </si>
  <si>
    <t>difference 1804-1805</t>
  </si>
  <si>
    <t>survivants</t>
  </si>
  <si>
    <t>s  survivants :</t>
  </si>
  <si>
    <t>extinctions reelles</t>
  </si>
  <si>
    <t>(d'apres Tresor:seulemt morts entrainant extinction)</t>
  </si>
  <si>
    <t>(Oct41 is scaled down)</t>
  </si>
  <si>
    <t>return</t>
  </si>
  <si>
    <t>quota</t>
  </si>
  <si>
    <t>age</t>
  </si>
  <si>
    <t>Nov 1744</t>
  </si>
  <si>
    <t>Oct 1741</t>
  </si>
  <si>
    <t>Fev.1782</t>
  </si>
  <si>
    <t xml:space="preserve">    9%</t>
  </si>
  <si>
    <t xml:space="preserve">   10%</t>
  </si>
  <si>
    <t>Nov.1758</t>
  </si>
  <si>
    <t>Nov.1754</t>
  </si>
  <si>
    <t>Nov.1744</t>
  </si>
  <si>
    <t>Oct.1741</t>
  </si>
  <si>
    <t>Nov.1740</t>
  </si>
  <si>
    <t>loan</t>
  </si>
  <si>
    <t>source : Deparcieux</t>
  </si>
  <si>
    <t>revenues</t>
  </si>
  <si>
    <t xml:space="preserve">   % of</t>
  </si>
  <si>
    <t>total debt</t>
  </si>
  <si>
    <t>corrected revenue</t>
  </si>
  <si>
    <t>price index</t>
  </si>
  <si>
    <t>indirect</t>
  </si>
  <si>
    <t>direct</t>
  </si>
  <si>
    <t>converted</t>
  </si>
  <si>
    <t>index 100=1774</t>
  </si>
  <si>
    <t xml:space="preserve"> debt/GNP</t>
  </si>
  <si>
    <t>serv/debt</t>
  </si>
  <si>
    <t xml:space="preserve">    debt</t>
  </si>
  <si>
    <t>debt service</t>
  </si>
  <si>
    <t>viager amort</t>
  </si>
  <si>
    <t>debt (2)</t>
  </si>
  <si>
    <t>viager d</t>
  </si>
  <si>
    <t>totdebt</t>
  </si>
  <si>
    <t>net borr</t>
  </si>
  <si>
    <t>amort</t>
  </si>
  <si>
    <t>-viager</t>
  </si>
  <si>
    <t xml:space="preserve"> reimb.</t>
  </si>
  <si>
    <t xml:space="preserve"> anticip.</t>
  </si>
  <si>
    <t>Fev.1770</t>
  </si>
  <si>
    <t>Britain-France</t>
  </si>
  <si>
    <t>(1L=23.84 livres)</t>
  </si>
  <si>
    <t>millions of pounds</t>
  </si>
  <si>
    <t>BRITAIN</t>
  </si>
  <si>
    <t xml:space="preserve"> reimb/debt</t>
  </si>
  <si>
    <t>same with</t>
  </si>
  <si>
    <t>GNP=5941</t>
  </si>
  <si>
    <t>non-viager</t>
  </si>
  <si>
    <t>net</t>
  </si>
  <si>
    <t>(nominal)</t>
  </si>
  <si>
    <t>id.smoothed</t>
  </si>
  <si>
    <t>growth</t>
  </si>
  <si>
    <t>(interest)</t>
  </si>
  <si>
    <t>(path2)</t>
  </si>
  <si>
    <t>GNP</t>
  </si>
  <si>
    <t>1643-88:</t>
  </si>
  <si>
    <t>rev.parity</t>
  </si>
  <si>
    <t>parity</t>
  </si>
  <si>
    <t>via Amst.</t>
  </si>
  <si>
    <t>price of 1 mark of pure silver, minted</t>
  </si>
  <si>
    <t>London-Paris:</t>
  </si>
  <si>
    <t>index</t>
  </si>
  <si>
    <t>yearly</t>
  </si>
  <si>
    <t xml:space="preserve">monthly </t>
  </si>
  <si>
    <t>source : Dupre de St.Maur : Essai sur les Monnaies. 1746</t>
  </si>
  <si>
    <t>ln(total)</t>
  </si>
  <si>
    <t>ages 17 to 100</t>
  </si>
  <si>
    <t>sum/actual</t>
  </si>
  <si>
    <t>sum(1 tete)</t>
  </si>
  <si>
    <t>computed sum</t>
  </si>
  <si>
    <t>depreciat</t>
  </si>
  <si>
    <t>sum1/actual</t>
  </si>
  <si>
    <t>computed</t>
  </si>
  <si>
    <t>(Nicolas)</t>
  </si>
  <si>
    <t>using rate</t>
  </si>
  <si>
    <t>%diff</t>
  </si>
  <si>
    <t>id(1794)</t>
  </si>
  <si>
    <t>comp(1793)uted</t>
  </si>
  <si>
    <t xml:space="preserve"> id(1792)</t>
  </si>
  <si>
    <t>extinct</t>
  </si>
  <si>
    <t>class</t>
  </si>
  <si>
    <t>Deparcieux</t>
  </si>
  <si>
    <t xml:space="preserve">    age</t>
  </si>
  <si>
    <t>as of 1794 Jan</t>
  </si>
  <si>
    <t>total sum</t>
  </si>
  <si>
    <t>successive loans &amp; their depreciation rate (from Cambon) 1777-1787</t>
  </si>
  <si>
    <t>pre-1777</t>
  </si>
  <si>
    <t xml:space="preserve">dette </t>
  </si>
  <si>
    <t xml:space="preserve"> deficit</t>
  </si>
  <si>
    <t>debt commit</t>
  </si>
  <si>
    <t>perpetual</t>
  </si>
  <si>
    <t>spdg +</t>
  </si>
  <si>
    <t>projected</t>
  </si>
  <si>
    <t>life-annuities</t>
  </si>
  <si>
    <t>fixed-term 5%-5%</t>
  </si>
  <si>
    <t>(gross)</t>
  </si>
  <si>
    <t>(net)</t>
  </si>
  <si>
    <t xml:space="preserve"> gross </t>
  </si>
  <si>
    <t xml:space="preserve">net </t>
  </si>
  <si>
    <t>revenues+loans :</t>
  </si>
  <si>
    <t>loans :</t>
  </si>
  <si>
    <t>id less</t>
  </si>
  <si>
    <t>cost war</t>
  </si>
  <si>
    <t>net of int.</t>
  </si>
  <si>
    <t>spdg</t>
  </si>
  <si>
    <t>antic.</t>
  </si>
  <si>
    <t>popul</t>
  </si>
  <si>
    <t>net-int</t>
  </si>
  <si>
    <t>gross loans</t>
  </si>
  <si>
    <t>reimb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</si>
</sst>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0%"/>
  </numFmts>
  <fonts count="5">
    <font>
      <sz val="10"/>
      <color rgb="FF000000"/>
      <name val="Sans"/>
    </font>
    <font>
      <sz val="11"/>
      <color theme="1"/>
      <name val="Calibri"/>
      <family val="2"/>
      <scheme val="minor"/>
    </font>
    <font>
      <sz val="10"/>
      <color indexed="8"/>
      <name val="Sans"/>
    </font>
    <font>
      <b/>
      <sz val="9"/>
      <color indexed="81"/>
      <name val="Tahoma"/>
      <family val="2"/>
    </font>
    <font>
      <i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64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1" fillId="0" borderId="0" xfId="1"/>
    <xf numFmtId="0" fontId="2" fillId="0" borderId="0" xfId="2"/>
    <xf numFmtId="0" fontId="2" fillId="0" borderId="0" xfId="2" applyFill="1" applyAlignment="1"/>
    <xf numFmtId="10" fontId="2" fillId="0" borderId="0" xfId="2" applyNumberFormat="1" applyFill="1" applyAlignment="1"/>
    <xf numFmtId="1" fontId="2" fillId="0" borderId="0" xfId="2" applyNumberFormat="1" applyFill="1" applyAlignment="1"/>
    <xf numFmtId="2" fontId="2" fillId="0" borderId="0" xfId="2" applyNumberFormat="1" applyFill="1" applyAlignment="1"/>
    <xf numFmtId="165" fontId="2" fillId="0" borderId="0" xfId="2" applyNumberFormat="1" applyFill="1" applyAlignment="1"/>
    <xf numFmtId="0" fontId="4" fillId="0" borderId="0" xfId="0" applyFont="1"/>
    <xf numFmtId="2" fontId="4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5"/>
  <sheetViews>
    <sheetView workbookViewId="0"/>
  </sheetViews>
  <sheetFormatPr defaultRowHeight="12.75"/>
  <sheetData>
    <row r="1" spans="1:10">
      <c r="A1">
        <v>7.0000000000000007E-2</v>
      </c>
      <c r="B1" s="1">
        <v>7.0000000000000007E-2</v>
      </c>
    </row>
    <row r="2" spans="1:10">
      <c r="B2" s="2" t="s">
        <v>0</v>
      </c>
      <c r="C2" s="3">
        <v>0.1</v>
      </c>
      <c r="E2" s="3">
        <v>0.12</v>
      </c>
      <c r="G2">
        <v>7.0000000000000007E-2</v>
      </c>
      <c r="I2" s="3">
        <v>0.105</v>
      </c>
    </row>
    <row r="3" spans="1:10">
      <c r="A3" t="s">
        <v>1</v>
      </c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</row>
    <row r="4" spans="1:10">
      <c r="A4">
        <v>0</v>
      </c>
      <c r="B4" s="2">
        <v>100</v>
      </c>
      <c r="C4" s="2">
        <f t="shared" ref="C4:C20" si="0">100*$C$2-$B$1*B4</f>
        <v>2.9999999999999991</v>
      </c>
      <c r="D4" s="2">
        <v>100</v>
      </c>
      <c r="E4" s="2">
        <f t="shared" ref="E4:E13" si="1">100*$E$2-$B$1*D4</f>
        <v>4.9999999999999991</v>
      </c>
      <c r="F4" s="2">
        <v>100</v>
      </c>
      <c r="G4" s="2">
        <f t="shared" ref="G4:G44" si="2">100*$G$2-$B$1*F4</f>
        <v>0</v>
      </c>
      <c r="H4" s="2">
        <v>100</v>
      </c>
      <c r="I4" s="2">
        <f t="shared" ref="I4:I15" si="3">100*$I$2-$B$1*H4</f>
        <v>3.4999999999999991</v>
      </c>
    </row>
    <row r="5" spans="1:10">
      <c r="A5">
        <v>1</v>
      </c>
      <c r="B5" s="2">
        <f t="shared" ref="B5:B25" si="4">B4-C4</f>
        <v>97</v>
      </c>
      <c r="C5" s="2">
        <f t="shared" si="0"/>
        <v>3.2099999999999991</v>
      </c>
      <c r="D5" s="2">
        <f t="shared" ref="D5:D17" si="5">D4-E4</f>
        <v>95</v>
      </c>
      <c r="E5" s="2">
        <f t="shared" si="1"/>
        <v>5.35</v>
      </c>
      <c r="F5" s="2">
        <f t="shared" ref="F5:F45" si="6">F4-G4</f>
        <v>100</v>
      </c>
      <c r="G5" s="2">
        <f t="shared" si="2"/>
        <v>0</v>
      </c>
      <c r="H5" s="2">
        <f t="shared" ref="H5:H23" si="7">H4-I4</f>
        <v>96.5</v>
      </c>
      <c r="I5" s="2">
        <f t="shared" si="3"/>
        <v>3.7449999999999992</v>
      </c>
    </row>
    <row r="6" spans="1:10">
      <c r="A6">
        <v>2</v>
      </c>
      <c r="B6" s="2">
        <f t="shared" si="4"/>
        <v>93.79</v>
      </c>
      <c r="C6" s="2">
        <f t="shared" si="0"/>
        <v>3.4346999999999985</v>
      </c>
      <c r="D6" s="2">
        <f t="shared" si="5"/>
        <v>89.65</v>
      </c>
      <c r="E6" s="2">
        <f t="shared" si="1"/>
        <v>5.724499999999999</v>
      </c>
      <c r="F6" s="2">
        <f t="shared" si="6"/>
        <v>100</v>
      </c>
      <c r="G6" s="2">
        <f t="shared" si="2"/>
        <v>0</v>
      </c>
      <c r="H6" s="2">
        <f t="shared" si="7"/>
        <v>92.754999999999995</v>
      </c>
      <c r="I6" s="2">
        <f t="shared" si="3"/>
        <v>4.0071499999999993</v>
      </c>
      <c r="J6" t="s">
        <v>5</v>
      </c>
    </row>
    <row r="7" spans="1:10">
      <c r="A7">
        <v>3</v>
      </c>
      <c r="B7" s="2">
        <f t="shared" si="4"/>
        <v>90.355300000000014</v>
      </c>
      <c r="C7" s="2">
        <f t="shared" si="0"/>
        <v>3.6751289999999983</v>
      </c>
      <c r="D7" s="2">
        <f t="shared" si="5"/>
        <v>83.9255</v>
      </c>
      <c r="E7" s="2">
        <f t="shared" si="1"/>
        <v>6.1252149999999999</v>
      </c>
      <c r="F7" s="2">
        <f t="shared" si="6"/>
        <v>100</v>
      </c>
      <c r="G7" s="2">
        <f t="shared" si="2"/>
        <v>0</v>
      </c>
      <c r="H7" s="2">
        <f t="shared" si="7"/>
        <v>88.74785</v>
      </c>
      <c r="I7" s="2">
        <f t="shared" si="3"/>
        <v>4.2876504999999998</v>
      </c>
    </row>
    <row r="8" spans="1:10">
      <c r="A8">
        <v>4</v>
      </c>
      <c r="B8" s="2">
        <f t="shared" si="4"/>
        <v>86.680171000000016</v>
      </c>
      <c r="C8" s="2">
        <f t="shared" si="0"/>
        <v>3.9323880299999985</v>
      </c>
      <c r="D8" s="2">
        <f t="shared" si="5"/>
        <v>77.800285000000002</v>
      </c>
      <c r="E8" s="2">
        <f t="shared" si="1"/>
        <v>6.5539800499999989</v>
      </c>
      <c r="F8" s="2">
        <f t="shared" si="6"/>
        <v>100</v>
      </c>
      <c r="G8" s="2">
        <f t="shared" si="2"/>
        <v>0</v>
      </c>
      <c r="H8" s="2">
        <f t="shared" si="7"/>
        <v>84.460199500000002</v>
      </c>
      <c r="I8" s="2">
        <f t="shared" si="3"/>
        <v>4.5877860349999997</v>
      </c>
    </row>
    <row r="9" spans="1:10">
      <c r="A9">
        <v>5</v>
      </c>
      <c r="B9" s="2">
        <f t="shared" si="4"/>
        <v>82.747782970000017</v>
      </c>
      <c r="C9" s="2">
        <f t="shared" si="0"/>
        <v>4.2076551920999981</v>
      </c>
      <c r="D9" s="2">
        <f t="shared" si="5"/>
        <v>71.24630495000001</v>
      </c>
      <c r="E9" s="2">
        <f t="shared" si="1"/>
        <v>7.0127586534999988</v>
      </c>
      <c r="F9" s="2">
        <f t="shared" si="6"/>
        <v>100</v>
      </c>
      <c r="G9" s="2">
        <f t="shared" si="2"/>
        <v>0</v>
      </c>
      <c r="H9" s="2">
        <f t="shared" si="7"/>
        <v>79.872413465000008</v>
      </c>
      <c r="I9" s="2">
        <f t="shared" si="3"/>
        <v>4.9089310574499985</v>
      </c>
    </row>
    <row r="10" spans="1:10">
      <c r="A10">
        <v>6</v>
      </c>
      <c r="B10" s="2">
        <f t="shared" si="4"/>
        <v>78.540127777900025</v>
      </c>
      <c r="C10" s="2">
        <f t="shared" si="0"/>
        <v>4.5021910555469979</v>
      </c>
      <c r="D10" s="2">
        <f t="shared" si="5"/>
        <v>64.233546296500009</v>
      </c>
      <c r="E10" s="2">
        <f t="shared" si="1"/>
        <v>7.5036517592449989</v>
      </c>
      <c r="F10" s="2">
        <f t="shared" si="6"/>
        <v>100</v>
      </c>
      <c r="G10" s="2">
        <f t="shared" si="2"/>
        <v>0</v>
      </c>
      <c r="H10" s="2">
        <f t="shared" si="7"/>
        <v>74.963482407550003</v>
      </c>
      <c r="I10" s="2">
        <f t="shared" si="3"/>
        <v>5.2525562314714991</v>
      </c>
    </row>
    <row r="11" spans="1:10">
      <c r="A11">
        <v>7</v>
      </c>
      <c r="B11" s="2">
        <f t="shared" si="4"/>
        <v>74.037936722353024</v>
      </c>
      <c r="C11" s="2">
        <f t="shared" si="0"/>
        <v>4.8173444294352876</v>
      </c>
      <c r="D11" s="2">
        <f t="shared" si="5"/>
        <v>56.729894537255007</v>
      </c>
      <c r="E11" s="2">
        <f t="shared" si="1"/>
        <v>8.0289073823921484</v>
      </c>
      <c r="F11" s="2">
        <f t="shared" si="6"/>
        <v>100</v>
      </c>
      <c r="G11" s="2">
        <f t="shared" si="2"/>
        <v>0</v>
      </c>
      <c r="H11" s="2">
        <f t="shared" si="7"/>
        <v>69.710926176078502</v>
      </c>
      <c r="I11" s="2">
        <f t="shared" si="3"/>
        <v>5.6202351676745046</v>
      </c>
    </row>
    <row r="12" spans="1:10">
      <c r="A12">
        <v>8</v>
      </c>
      <c r="B12" s="2">
        <f t="shared" si="4"/>
        <v>69.220592292917729</v>
      </c>
      <c r="C12" s="2">
        <f t="shared" si="0"/>
        <v>5.1545585394957589</v>
      </c>
      <c r="D12" s="2">
        <f t="shared" si="5"/>
        <v>48.700987154862858</v>
      </c>
      <c r="E12" s="2">
        <f t="shared" si="1"/>
        <v>8.5909308991595985</v>
      </c>
      <c r="F12" s="2">
        <f t="shared" si="6"/>
        <v>100</v>
      </c>
      <c r="G12" s="2">
        <f t="shared" si="2"/>
        <v>0</v>
      </c>
      <c r="H12" s="2">
        <f t="shared" si="7"/>
        <v>64.090691008403994</v>
      </c>
      <c r="I12" s="2">
        <f t="shared" si="3"/>
        <v>6.0136516294117204</v>
      </c>
    </row>
    <row r="13" spans="1:10">
      <c r="A13">
        <v>9</v>
      </c>
      <c r="B13" s="2">
        <f t="shared" si="4"/>
        <v>64.066033753421976</v>
      </c>
      <c r="C13" s="2">
        <f t="shared" si="0"/>
        <v>5.5153776372604613</v>
      </c>
      <c r="D13" s="2">
        <f t="shared" si="5"/>
        <v>40.110056255703256</v>
      </c>
      <c r="E13" s="2">
        <f t="shared" si="1"/>
        <v>9.1922960621007714</v>
      </c>
      <c r="F13" s="2">
        <f t="shared" si="6"/>
        <v>100</v>
      </c>
      <c r="G13" s="2">
        <f t="shared" si="2"/>
        <v>0</v>
      </c>
      <c r="H13" s="2">
        <f t="shared" si="7"/>
        <v>58.077039378992275</v>
      </c>
      <c r="I13" s="2">
        <f t="shared" si="3"/>
        <v>6.4346072434705404</v>
      </c>
    </row>
    <row r="14" spans="1:10">
      <c r="A14">
        <v>10</v>
      </c>
      <c r="B14" s="2">
        <f t="shared" si="4"/>
        <v>58.550656116161512</v>
      </c>
      <c r="C14" s="2">
        <f t="shared" si="0"/>
        <v>5.9014540718686934</v>
      </c>
      <c r="D14" s="2">
        <f t="shared" si="5"/>
        <v>30.917760193602483</v>
      </c>
      <c r="E14" s="2">
        <f>D14*(1+$B$1)</f>
        <v>33.082003407154659</v>
      </c>
      <c r="F14" s="2">
        <f t="shared" si="6"/>
        <v>100</v>
      </c>
      <c r="G14" s="2">
        <f t="shared" si="2"/>
        <v>0</v>
      </c>
      <c r="H14" s="2">
        <f t="shared" si="7"/>
        <v>51.642432135521737</v>
      </c>
      <c r="I14" s="2">
        <f t="shared" si="3"/>
        <v>6.8850297505134783</v>
      </c>
    </row>
    <row r="15" spans="1:10">
      <c r="A15">
        <v>11</v>
      </c>
      <c r="B15" s="2">
        <f t="shared" si="4"/>
        <v>52.649202044292821</v>
      </c>
      <c r="C15" s="2">
        <f t="shared" si="0"/>
        <v>6.3145558568995028</v>
      </c>
      <c r="D15" s="2">
        <f t="shared" si="5"/>
        <v>-2.1642432135521759</v>
      </c>
      <c r="E15" s="2">
        <f>D15*(1+$B$1)</f>
        <v>-2.3157402385008283</v>
      </c>
      <c r="F15" s="2">
        <f t="shared" si="6"/>
        <v>100</v>
      </c>
      <c r="G15" s="2">
        <f t="shared" si="2"/>
        <v>0</v>
      </c>
      <c r="H15" s="2">
        <f t="shared" si="7"/>
        <v>44.757402385008263</v>
      </c>
      <c r="I15" s="2">
        <f t="shared" si="3"/>
        <v>7.3669818330494214</v>
      </c>
    </row>
    <row r="16" spans="1:10">
      <c r="A16">
        <v>12</v>
      </c>
      <c r="B16" s="2">
        <f t="shared" si="4"/>
        <v>46.334646187393318</v>
      </c>
      <c r="C16" s="2">
        <f t="shared" si="0"/>
        <v>6.7565747668824674</v>
      </c>
      <c r="D16" s="2">
        <f t="shared" si="5"/>
        <v>0.15149702494865247</v>
      </c>
      <c r="E16" s="2">
        <f>D16*(1+$B$1)</f>
        <v>0.16210181669505816</v>
      </c>
      <c r="F16" s="2">
        <f t="shared" si="6"/>
        <v>100</v>
      </c>
      <c r="G16" s="2">
        <f t="shared" si="2"/>
        <v>0</v>
      </c>
      <c r="H16" s="2">
        <f t="shared" si="7"/>
        <v>37.39042055195884</v>
      </c>
      <c r="I16" s="2">
        <f t="shared" ref="I16:I23" si="8">H16*(1+$B$1)</f>
        <v>40.007749990595961</v>
      </c>
    </row>
    <row r="17" spans="1:9">
      <c r="A17">
        <v>13</v>
      </c>
      <c r="B17" s="2">
        <f t="shared" si="4"/>
        <v>39.578071420510852</v>
      </c>
      <c r="C17" s="2">
        <f t="shared" si="0"/>
        <v>7.2295350005642405</v>
      </c>
      <c r="D17" s="2">
        <f t="shared" si="5"/>
        <v>-1.060479174640569E-2</v>
      </c>
      <c r="E17" s="2">
        <f>D17*(1+$B$1)</f>
        <v>-1.1347127168654089E-2</v>
      </c>
      <c r="F17" s="2">
        <f t="shared" si="6"/>
        <v>100</v>
      </c>
      <c r="G17" s="2">
        <f t="shared" si="2"/>
        <v>0</v>
      </c>
      <c r="H17" s="2">
        <f t="shared" si="7"/>
        <v>-2.6173294386371211</v>
      </c>
      <c r="I17" s="2">
        <f t="shared" si="8"/>
        <v>-2.8005424993417196</v>
      </c>
    </row>
    <row r="18" spans="1:9">
      <c r="A18">
        <v>14</v>
      </c>
      <c r="B18" s="2">
        <f t="shared" si="4"/>
        <v>32.348536419946612</v>
      </c>
      <c r="C18" s="2">
        <f t="shared" si="0"/>
        <v>7.7356024506037375</v>
      </c>
      <c r="F18" s="2">
        <f t="shared" si="6"/>
        <v>100</v>
      </c>
      <c r="G18" s="2">
        <f t="shared" si="2"/>
        <v>0</v>
      </c>
      <c r="H18" s="2">
        <f t="shared" si="7"/>
        <v>0.18321306070459853</v>
      </c>
      <c r="I18" s="2">
        <f t="shared" si="8"/>
        <v>0.19603797495392045</v>
      </c>
    </row>
    <row r="19" spans="1:9">
      <c r="A19">
        <v>15</v>
      </c>
      <c r="B19" s="2">
        <f t="shared" si="4"/>
        <v>24.612933969342876</v>
      </c>
      <c r="C19" s="2">
        <f t="shared" si="0"/>
        <v>8.2770946221459987</v>
      </c>
      <c r="F19" s="2">
        <f t="shared" si="6"/>
        <v>100</v>
      </c>
      <c r="G19" s="2">
        <f t="shared" si="2"/>
        <v>0</v>
      </c>
      <c r="H19" s="2">
        <f t="shared" si="7"/>
        <v>-1.2824914249321917E-2</v>
      </c>
      <c r="I19" s="2">
        <f t="shared" si="8"/>
        <v>-1.3722658246774452E-2</v>
      </c>
    </row>
    <row r="20" spans="1:9">
      <c r="A20">
        <v>16</v>
      </c>
      <c r="B20" s="2">
        <f t="shared" si="4"/>
        <v>16.335839347196877</v>
      </c>
      <c r="C20" s="2">
        <f t="shared" si="0"/>
        <v>8.856491245696219</v>
      </c>
      <c r="F20" s="2">
        <f t="shared" si="6"/>
        <v>100</v>
      </c>
      <c r="G20" s="2">
        <f t="shared" si="2"/>
        <v>0</v>
      </c>
      <c r="H20" s="2">
        <f t="shared" si="7"/>
        <v>8.9774399745253496E-4</v>
      </c>
      <c r="I20" s="2">
        <f t="shared" si="8"/>
        <v>9.6058607727421245E-4</v>
      </c>
    </row>
    <row r="21" spans="1:9">
      <c r="A21">
        <v>17</v>
      </c>
      <c r="B21" s="2">
        <f t="shared" si="4"/>
        <v>7.4793481015006584</v>
      </c>
      <c r="C21" s="2">
        <f>B21*(1+$B$1)</f>
        <v>8.0029024686057042</v>
      </c>
      <c r="F21" s="2">
        <f t="shared" si="6"/>
        <v>100</v>
      </c>
      <c r="G21" s="2">
        <f t="shared" si="2"/>
        <v>0</v>
      </c>
      <c r="H21" s="2">
        <f t="shared" si="7"/>
        <v>-6.2842079821677499E-5</v>
      </c>
      <c r="I21" s="2">
        <f t="shared" si="8"/>
        <v>-6.7241025409194933E-5</v>
      </c>
    </row>
    <row r="22" spans="1:9">
      <c r="A22">
        <v>18</v>
      </c>
      <c r="B22" s="2">
        <f t="shared" si="4"/>
        <v>-0.52355436710504577</v>
      </c>
      <c r="C22" s="2">
        <f>100*$C$2-$B$1*B22</f>
        <v>10.036648805697354</v>
      </c>
      <c r="F22" s="2">
        <f t="shared" si="6"/>
        <v>100</v>
      </c>
      <c r="G22" s="2">
        <f t="shared" si="2"/>
        <v>0</v>
      </c>
      <c r="H22" s="2">
        <f t="shared" si="7"/>
        <v>4.3989455875174336E-6</v>
      </c>
      <c r="I22" s="2">
        <f t="shared" si="8"/>
        <v>4.7068717786436541E-6</v>
      </c>
    </row>
    <row r="23" spans="1:9">
      <c r="A23">
        <v>19</v>
      </c>
      <c r="B23" s="2">
        <f t="shared" si="4"/>
        <v>-10.5602031728024</v>
      </c>
      <c r="C23" s="2">
        <f>B23*(1+$B$1)</f>
        <v>-11.299417394898569</v>
      </c>
      <c r="F23" s="2">
        <f t="shared" si="6"/>
        <v>100</v>
      </c>
      <c r="G23" s="2">
        <f t="shared" si="2"/>
        <v>0</v>
      </c>
      <c r="H23" s="2">
        <f t="shared" si="7"/>
        <v>-3.0792619112622049E-7</v>
      </c>
      <c r="I23" s="2">
        <f t="shared" si="8"/>
        <v>-3.2948102450505596E-7</v>
      </c>
    </row>
    <row r="24" spans="1:9">
      <c r="A24">
        <v>20</v>
      </c>
      <c r="B24" s="2">
        <f t="shared" si="4"/>
        <v>0.73921422209616949</v>
      </c>
      <c r="C24" s="2">
        <f>100*$C$2-$B$1*B24</f>
        <v>9.9482550044532676</v>
      </c>
      <c r="F24" s="2">
        <f t="shared" si="6"/>
        <v>100</v>
      </c>
      <c r="G24" s="2">
        <f t="shared" si="2"/>
        <v>0</v>
      </c>
    </row>
    <row r="25" spans="1:9">
      <c r="A25">
        <v>21</v>
      </c>
      <c r="B25" s="2">
        <f t="shared" si="4"/>
        <v>-9.2090407823570981</v>
      </c>
      <c r="C25" s="2">
        <f>100*$C$2-$B$1*B25</f>
        <v>10.644632854764996</v>
      </c>
      <c r="F25" s="2">
        <f t="shared" si="6"/>
        <v>100</v>
      </c>
      <c r="G25" s="2">
        <f t="shared" si="2"/>
        <v>0</v>
      </c>
    </row>
    <row r="26" spans="1:9">
      <c r="A26">
        <v>22</v>
      </c>
      <c r="F26" s="2">
        <f t="shared" si="6"/>
        <v>100</v>
      </c>
      <c r="G26" s="2">
        <f t="shared" si="2"/>
        <v>0</v>
      </c>
    </row>
    <row r="27" spans="1:9">
      <c r="A27">
        <v>23</v>
      </c>
      <c r="F27" s="2">
        <f t="shared" si="6"/>
        <v>100</v>
      </c>
      <c r="G27" s="2">
        <f t="shared" si="2"/>
        <v>0</v>
      </c>
    </row>
    <row r="28" spans="1:9">
      <c r="A28">
        <v>24</v>
      </c>
      <c r="F28" s="2">
        <f t="shared" si="6"/>
        <v>100</v>
      </c>
      <c r="G28" s="2">
        <f t="shared" si="2"/>
        <v>0</v>
      </c>
    </row>
    <row r="29" spans="1:9">
      <c r="A29">
        <v>25</v>
      </c>
      <c r="F29" s="2">
        <f t="shared" si="6"/>
        <v>100</v>
      </c>
      <c r="G29" s="2">
        <f t="shared" si="2"/>
        <v>0</v>
      </c>
    </row>
    <row r="30" spans="1:9">
      <c r="A30">
        <v>26</v>
      </c>
      <c r="F30" s="2">
        <f t="shared" si="6"/>
        <v>100</v>
      </c>
      <c r="G30" s="2">
        <f t="shared" si="2"/>
        <v>0</v>
      </c>
    </row>
    <row r="31" spans="1:9">
      <c r="A31">
        <v>27</v>
      </c>
      <c r="F31" s="2">
        <f t="shared" si="6"/>
        <v>100</v>
      </c>
      <c r="G31" s="2">
        <f t="shared" si="2"/>
        <v>0</v>
      </c>
    </row>
    <row r="32" spans="1:9">
      <c r="A32">
        <v>28</v>
      </c>
      <c r="F32" s="2">
        <f t="shared" si="6"/>
        <v>100</v>
      </c>
      <c r="G32" s="2">
        <f t="shared" si="2"/>
        <v>0</v>
      </c>
    </row>
    <row r="33" spans="1:9">
      <c r="A33">
        <v>29</v>
      </c>
      <c r="F33" s="2">
        <f t="shared" si="6"/>
        <v>100</v>
      </c>
      <c r="G33" s="2">
        <f t="shared" si="2"/>
        <v>0</v>
      </c>
    </row>
    <row r="34" spans="1:9">
      <c r="A34">
        <v>30</v>
      </c>
      <c r="F34" s="2">
        <f t="shared" si="6"/>
        <v>100</v>
      </c>
      <c r="G34" s="2">
        <f t="shared" si="2"/>
        <v>0</v>
      </c>
    </row>
    <row r="35" spans="1:9">
      <c r="A35">
        <v>31</v>
      </c>
      <c r="F35" s="2">
        <f t="shared" si="6"/>
        <v>100</v>
      </c>
      <c r="G35" s="2">
        <f t="shared" si="2"/>
        <v>0</v>
      </c>
    </row>
    <row r="36" spans="1:9">
      <c r="A36">
        <v>32</v>
      </c>
      <c r="F36" s="2">
        <f t="shared" si="6"/>
        <v>100</v>
      </c>
      <c r="G36" s="2">
        <f t="shared" si="2"/>
        <v>0</v>
      </c>
    </row>
    <row r="37" spans="1:9">
      <c r="A37">
        <v>33</v>
      </c>
      <c r="F37" s="2">
        <f t="shared" si="6"/>
        <v>100</v>
      </c>
      <c r="G37" s="2">
        <f t="shared" si="2"/>
        <v>0</v>
      </c>
    </row>
    <row r="38" spans="1:9">
      <c r="A38">
        <f t="shared" ref="A38:A45" si="9">A37+1</f>
        <v>34</v>
      </c>
      <c r="F38" s="2">
        <f t="shared" si="6"/>
        <v>100</v>
      </c>
      <c r="G38" s="2">
        <f t="shared" si="2"/>
        <v>0</v>
      </c>
    </row>
    <row r="39" spans="1:9">
      <c r="A39">
        <f t="shared" si="9"/>
        <v>35</v>
      </c>
      <c r="F39" s="2">
        <f t="shared" si="6"/>
        <v>100</v>
      </c>
      <c r="G39" s="2">
        <f t="shared" si="2"/>
        <v>0</v>
      </c>
    </row>
    <row r="40" spans="1:9">
      <c r="A40">
        <f t="shared" si="9"/>
        <v>36</v>
      </c>
      <c r="F40" s="2">
        <f t="shared" si="6"/>
        <v>100</v>
      </c>
      <c r="G40" s="2">
        <f t="shared" si="2"/>
        <v>0</v>
      </c>
    </row>
    <row r="41" spans="1:9">
      <c r="A41">
        <f t="shared" si="9"/>
        <v>37</v>
      </c>
      <c r="F41" s="2">
        <f t="shared" si="6"/>
        <v>100</v>
      </c>
      <c r="G41" s="2">
        <f t="shared" si="2"/>
        <v>0</v>
      </c>
    </row>
    <row r="42" spans="1:9">
      <c r="A42">
        <f t="shared" si="9"/>
        <v>38</v>
      </c>
      <c r="F42" s="2">
        <f t="shared" si="6"/>
        <v>100</v>
      </c>
      <c r="G42" s="2">
        <f t="shared" si="2"/>
        <v>0</v>
      </c>
    </row>
    <row r="43" spans="1:9">
      <c r="A43">
        <f t="shared" si="9"/>
        <v>39</v>
      </c>
      <c r="F43" s="2">
        <f t="shared" si="6"/>
        <v>100</v>
      </c>
      <c r="G43" s="2">
        <f t="shared" si="2"/>
        <v>0</v>
      </c>
    </row>
    <row r="44" spans="1:9">
      <c r="A44">
        <f t="shared" si="9"/>
        <v>40</v>
      </c>
      <c r="F44" s="2">
        <f t="shared" si="6"/>
        <v>100</v>
      </c>
      <c r="G44" s="2">
        <f t="shared" si="2"/>
        <v>0</v>
      </c>
    </row>
    <row r="45" spans="1:9">
      <c r="A45">
        <f t="shared" si="9"/>
        <v>41</v>
      </c>
      <c r="F45" s="2">
        <f t="shared" si="6"/>
        <v>100</v>
      </c>
      <c r="G45" s="2">
        <f>F45*(1+$B$1)</f>
        <v>107</v>
      </c>
    </row>
    <row r="48" spans="1:9">
      <c r="B48" s="2" t="s">
        <v>4</v>
      </c>
      <c r="C48" s="3">
        <v>0.1</v>
      </c>
      <c r="E48" s="3">
        <v>9.5000000000000001E-2</v>
      </c>
      <c r="G48" s="3">
        <v>9.2499999999999999E-2</v>
      </c>
      <c r="I48" s="3">
        <v>0.09</v>
      </c>
    </row>
    <row r="49" spans="1:10">
      <c r="A49" t="s">
        <v>1</v>
      </c>
      <c r="B49" s="2" t="s">
        <v>2</v>
      </c>
      <c r="C49" s="2" t="s">
        <v>3</v>
      </c>
      <c r="D49" s="2" t="s">
        <v>2</v>
      </c>
      <c r="E49" s="2" t="s">
        <v>3</v>
      </c>
      <c r="F49" s="2" t="s">
        <v>2</v>
      </c>
      <c r="G49" s="2" t="s">
        <v>3</v>
      </c>
      <c r="H49" s="2" t="s">
        <v>2</v>
      </c>
      <c r="I49" s="2" t="s">
        <v>3</v>
      </c>
    </row>
    <row r="50" spans="1:10">
      <c r="A50">
        <v>0</v>
      </c>
      <c r="B50" s="2">
        <v>100</v>
      </c>
      <c r="C50" s="2">
        <f t="shared" ref="C50:C63" si="10">100*$C$2-0.055*B50</f>
        <v>4.5</v>
      </c>
      <c r="D50" s="2">
        <v>100</v>
      </c>
      <c r="E50" s="2">
        <f t="shared" ref="E50:E65" si="11">100*$E$2-0.055*D50</f>
        <v>6.5</v>
      </c>
      <c r="F50" s="2">
        <v>100</v>
      </c>
      <c r="G50" s="2" t="e">
        <f t="shared" ref="G50:G65" si="12">100*F49-0.055*F50</f>
        <v>#VALUE!</v>
      </c>
      <c r="H50" s="2">
        <v>100</v>
      </c>
      <c r="I50" s="2">
        <f t="shared" ref="I50:I66" si="13">100*$I$2-0.055*H50</f>
        <v>5</v>
      </c>
    </row>
    <row r="51" spans="1:10">
      <c r="A51">
        <v>1</v>
      </c>
      <c r="B51" s="2">
        <f t="shared" ref="B51:B64" si="14">B50-C50</f>
        <v>95.5</v>
      </c>
      <c r="C51" s="2">
        <f t="shared" si="10"/>
        <v>4.7474999999999996</v>
      </c>
      <c r="D51" s="2">
        <f t="shared" ref="D51:D66" si="15">D50-E50</f>
        <v>93.5</v>
      </c>
      <c r="E51" s="2">
        <f t="shared" si="11"/>
        <v>6.8574999999999999</v>
      </c>
      <c r="F51" s="2" t="e">
        <f t="shared" ref="F51:F66" si="16">F50-G50</f>
        <v>#VALUE!</v>
      </c>
      <c r="G51" s="2" t="e">
        <f t="shared" si="12"/>
        <v>#VALUE!</v>
      </c>
      <c r="H51" s="2">
        <f t="shared" ref="H51:H67" si="17">H50-I50</f>
        <v>95</v>
      </c>
      <c r="I51" s="2">
        <f t="shared" si="13"/>
        <v>5.2750000000000004</v>
      </c>
    </row>
    <row r="52" spans="1:10">
      <c r="A52">
        <v>2</v>
      </c>
      <c r="B52" s="2">
        <f t="shared" si="14"/>
        <v>90.752499999999998</v>
      </c>
      <c r="C52" s="2">
        <f t="shared" si="10"/>
        <v>5.0086124999999999</v>
      </c>
      <c r="D52" s="2">
        <f t="shared" si="15"/>
        <v>86.642499999999998</v>
      </c>
      <c r="E52" s="2">
        <f t="shared" si="11"/>
        <v>7.2346624999999998</v>
      </c>
      <c r="F52" s="2" t="e">
        <f t="shared" si="16"/>
        <v>#VALUE!</v>
      </c>
      <c r="G52" s="2" t="e">
        <f t="shared" si="12"/>
        <v>#VALUE!</v>
      </c>
      <c r="H52" s="2">
        <f t="shared" si="17"/>
        <v>89.724999999999994</v>
      </c>
      <c r="I52" s="2">
        <f t="shared" si="13"/>
        <v>5.5651250000000001</v>
      </c>
      <c r="J52" t="s">
        <v>6</v>
      </c>
    </row>
    <row r="53" spans="1:10">
      <c r="A53">
        <v>3</v>
      </c>
      <c r="B53" s="2">
        <f t="shared" si="14"/>
        <v>85.7438875</v>
      </c>
      <c r="C53" s="2">
        <f t="shared" si="10"/>
        <v>5.2840861874999998</v>
      </c>
      <c r="D53" s="2">
        <f t="shared" si="15"/>
        <v>79.407837499999999</v>
      </c>
      <c r="E53" s="2">
        <f t="shared" si="11"/>
        <v>7.6325689375000003</v>
      </c>
      <c r="F53" s="2" t="e">
        <f t="shared" si="16"/>
        <v>#VALUE!</v>
      </c>
      <c r="G53" s="2" t="e">
        <f t="shared" si="12"/>
        <v>#VALUE!</v>
      </c>
      <c r="H53" s="2">
        <f t="shared" si="17"/>
        <v>84.159875</v>
      </c>
      <c r="I53" s="2">
        <f t="shared" si="13"/>
        <v>5.8712068750000004</v>
      </c>
    </row>
    <row r="54" spans="1:10">
      <c r="A54">
        <v>4</v>
      </c>
      <c r="B54" s="2">
        <f t="shared" si="14"/>
        <v>80.459801312500005</v>
      </c>
      <c r="C54" s="2">
        <f t="shared" si="10"/>
        <v>5.5747109278124993</v>
      </c>
      <c r="D54" s="2">
        <f t="shared" si="15"/>
        <v>71.775268562500003</v>
      </c>
      <c r="E54" s="2">
        <f t="shared" si="11"/>
        <v>8.0523602290625007</v>
      </c>
      <c r="F54" s="2" t="e">
        <f t="shared" si="16"/>
        <v>#VALUE!</v>
      </c>
      <c r="G54" s="2" t="e">
        <f t="shared" si="12"/>
        <v>#VALUE!</v>
      </c>
      <c r="H54" s="2">
        <f t="shared" si="17"/>
        <v>78.288668125000001</v>
      </c>
      <c r="I54" s="2">
        <f t="shared" si="13"/>
        <v>6.1941232531250003</v>
      </c>
    </row>
    <row r="55" spans="1:10">
      <c r="A55">
        <v>5</v>
      </c>
      <c r="B55" s="2">
        <f t="shared" si="14"/>
        <v>74.885090384687501</v>
      </c>
      <c r="C55" s="2">
        <f t="shared" si="10"/>
        <v>5.881320028842187</v>
      </c>
      <c r="D55" s="2">
        <f t="shared" si="15"/>
        <v>63.722908333437502</v>
      </c>
      <c r="E55" s="2">
        <f t="shared" si="11"/>
        <v>8.4952400416609368</v>
      </c>
      <c r="F55" s="2" t="e">
        <f t="shared" si="16"/>
        <v>#VALUE!</v>
      </c>
      <c r="G55" s="2" t="e">
        <f t="shared" si="12"/>
        <v>#VALUE!</v>
      </c>
      <c r="H55" s="2">
        <f t="shared" si="17"/>
        <v>72.094544871875001</v>
      </c>
      <c r="I55" s="2">
        <f t="shared" si="13"/>
        <v>6.5348000320468751</v>
      </c>
    </row>
    <row r="56" spans="1:10">
      <c r="A56">
        <v>6</v>
      </c>
      <c r="B56" s="2">
        <f t="shared" si="14"/>
        <v>69.003770355845319</v>
      </c>
      <c r="C56" s="2">
        <f t="shared" si="10"/>
        <v>6.204792630428507</v>
      </c>
      <c r="D56" s="2">
        <f t="shared" si="15"/>
        <v>55.227668291776567</v>
      </c>
      <c r="E56" s="2">
        <f t="shared" si="11"/>
        <v>8.9624782439522885</v>
      </c>
      <c r="F56" s="2" t="e">
        <f t="shared" si="16"/>
        <v>#VALUE!</v>
      </c>
      <c r="G56" s="2" t="e">
        <f t="shared" si="12"/>
        <v>#VALUE!</v>
      </c>
      <c r="H56" s="2">
        <f t="shared" si="17"/>
        <v>65.559744839828127</v>
      </c>
      <c r="I56" s="2">
        <f t="shared" si="13"/>
        <v>6.8942140338094529</v>
      </c>
    </row>
    <row r="57" spans="1:10">
      <c r="A57">
        <v>7</v>
      </c>
      <c r="B57" s="2">
        <f t="shared" si="14"/>
        <v>62.798977725416812</v>
      </c>
      <c r="C57" s="2">
        <f t="shared" si="10"/>
        <v>6.5460562251020757</v>
      </c>
      <c r="D57" s="2">
        <f t="shared" si="15"/>
        <v>46.265190047824277</v>
      </c>
      <c r="E57" s="2">
        <f t="shared" si="11"/>
        <v>9.4554145473696654</v>
      </c>
      <c r="F57" s="2" t="e">
        <f t="shared" si="16"/>
        <v>#VALUE!</v>
      </c>
      <c r="G57" s="2" t="e">
        <f t="shared" si="12"/>
        <v>#VALUE!</v>
      </c>
      <c r="H57" s="2">
        <f t="shared" si="17"/>
        <v>58.665530806018673</v>
      </c>
      <c r="I57" s="2">
        <f t="shared" si="13"/>
        <v>7.2733958056689731</v>
      </c>
    </row>
    <row r="58" spans="1:10">
      <c r="A58">
        <v>8</v>
      </c>
      <c r="B58" s="2">
        <f t="shared" si="14"/>
        <v>56.252921500314734</v>
      </c>
      <c r="C58" s="2">
        <f t="shared" si="10"/>
        <v>6.9060893174826896</v>
      </c>
      <c r="D58" s="2">
        <f t="shared" si="15"/>
        <v>36.809775500454613</v>
      </c>
      <c r="E58" s="2">
        <f t="shared" si="11"/>
        <v>9.9754623474749966</v>
      </c>
      <c r="F58" s="2" t="e">
        <f t="shared" si="16"/>
        <v>#VALUE!</v>
      </c>
      <c r="G58" s="2" t="e">
        <f t="shared" si="12"/>
        <v>#VALUE!</v>
      </c>
      <c r="H58" s="2">
        <f t="shared" si="17"/>
        <v>51.392135000349697</v>
      </c>
      <c r="I58" s="2">
        <f t="shared" si="13"/>
        <v>7.673432574980767</v>
      </c>
    </row>
    <row r="59" spans="1:10">
      <c r="A59">
        <v>9</v>
      </c>
      <c r="B59" s="2">
        <f t="shared" si="14"/>
        <v>49.346832182832046</v>
      </c>
      <c r="C59" s="2">
        <f t="shared" si="10"/>
        <v>7.2859242299442375</v>
      </c>
      <c r="D59" s="2">
        <f t="shared" si="15"/>
        <v>26.834313152979618</v>
      </c>
      <c r="E59" s="2">
        <f t="shared" si="11"/>
        <v>10.52411277658612</v>
      </c>
      <c r="F59" s="2" t="e">
        <f t="shared" si="16"/>
        <v>#VALUE!</v>
      </c>
      <c r="G59" s="2" t="e">
        <f t="shared" si="12"/>
        <v>#VALUE!</v>
      </c>
      <c r="H59" s="2">
        <f t="shared" si="17"/>
        <v>43.718702425368932</v>
      </c>
      <c r="I59" s="2">
        <f t="shared" si="13"/>
        <v>8.0954713666047091</v>
      </c>
    </row>
    <row r="60" spans="1:10">
      <c r="A60">
        <v>10</v>
      </c>
      <c r="B60" s="2">
        <f t="shared" si="14"/>
        <v>42.06090795288781</v>
      </c>
      <c r="C60" s="2">
        <f t="shared" si="10"/>
        <v>7.6866500625911698</v>
      </c>
      <c r="D60" s="2">
        <f t="shared" si="15"/>
        <v>16.310200376393496</v>
      </c>
      <c r="E60" s="2">
        <f t="shared" si="11"/>
        <v>11.102938979298358</v>
      </c>
      <c r="F60" s="2" t="e">
        <f t="shared" si="16"/>
        <v>#VALUE!</v>
      </c>
      <c r="G60" s="2" t="e">
        <f t="shared" si="12"/>
        <v>#VALUE!</v>
      </c>
      <c r="H60" s="2">
        <f t="shared" si="17"/>
        <v>35.623231058764219</v>
      </c>
      <c r="I60" s="2">
        <f t="shared" si="13"/>
        <v>8.5407222917679686</v>
      </c>
    </row>
    <row r="61" spans="1:10">
      <c r="A61">
        <v>11</v>
      </c>
      <c r="B61" s="2">
        <f t="shared" si="14"/>
        <v>34.37425789029664</v>
      </c>
      <c r="C61" s="2">
        <f t="shared" si="10"/>
        <v>8.1094158160336853</v>
      </c>
      <c r="D61" s="2">
        <f t="shared" si="15"/>
        <v>5.207261397095138</v>
      </c>
      <c r="E61" s="2">
        <f t="shared" si="11"/>
        <v>11.713600623159767</v>
      </c>
      <c r="F61" s="2" t="e">
        <f t="shared" si="16"/>
        <v>#VALUE!</v>
      </c>
      <c r="G61" s="2" t="e">
        <f t="shared" si="12"/>
        <v>#VALUE!</v>
      </c>
      <c r="H61" s="2">
        <f t="shared" si="17"/>
        <v>27.082508766996249</v>
      </c>
      <c r="I61" s="2">
        <f t="shared" si="13"/>
        <v>9.0104620178152057</v>
      </c>
    </row>
    <row r="62" spans="1:10">
      <c r="A62">
        <v>12</v>
      </c>
      <c r="B62" s="2">
        <f t="shared" si="14"/>
        <v>26.264842074262955</v>
      </c>
      <c r="C62" s="2">
        <f t="shared" si="10"/>
        <v>8.5554336859155384</v>
      </c>
      <c r="D62" s="2">
        <f t="shared" si="15"/>
        <v>-6.5063392260646289</v>
      </c>
      <c r="E62" s="2">
        <f t="shared" si="11"/>
        <v>12.357848657433555</v>
      </c>
      <c r="F62" s="2" t="e">
        <f t="shared" si="16"/>
        <v>#VALUE!</v>
      </c>
      <c r="G62" s="2" t="e">
        <f t="shared" si="12"/>
        <v>#VALUE!</v>
      </c>
      <c r="H62" s="2">
        <f t="shared" si="17"/>
        <v>18.072046749181041</v>
      </c>
      <c r="I62" s="2">
        <f t="shared" si="13"/>
        <v>9.5060374287950431</v>
      </c>
    </row>
    <row r="63" spans="1:10">
      <c r="A63">
        <v>13</v>
      </c>
      <c r="B63" s="2">
        <f t="shared" si="14"/>
        <v>17.709408388347416</v>
      </c>
      <c r="C63" s="2">
        <f t="shared" si="10"/>
        <v>9.0259825386408927</v>
      </c>
      <c r="D63" s="2">
        <f t="shared" si="15"/>
        <v>-18.864187883498182</v>
      </c>
      <c r="E63" s="2">
        <f t="shared" si="11"/>
        <v>13.0375303335924</v>
      </c>
      <c r="F63" s="2" t="e">
        <f t="shared" si="16"/>
        <v>#VALUE!</v>
      </c>
      <c r="G63" s="2" t="e">
        <f t="shared" si="12"/>
        <v>#VALUE!</v>
      </c>
      <c r="H63" s="2">
        <f t="shared" si="17"/>
        <v>8.5660093203859979</v>
      </c>
      <c r="I63" s="2">
        <f t="shared" si="13"/>
        <v>10.02886948737877</v>
      </c>
    </row>
    <row r="64" spans="1:10">
      <c r="A64">
        <v>14</v>
      </c>
      <c r="B64" s="2">
        <f t="shared" si="14"/>
        <v>8.6834258497065235</v>
      </c>
      <c r="C64" s="2">
        <f>B64*1.055</f>
        <v>9.1610142714403811</v>
      </c>
      <c r="D64" s="2">
        <f t="shared" si="15"/>
        <v>-31.901718217090583</v>
      </c>
      <c r="E64" s="2">
        <f t="shared" si="11"/>
        <v>13.754594501939982</v>
      </c>
      <c r="F64" s="2" t="e">
        <f t="shared" si="16"/>
        <v>#VALUE!</v>
      </c>
      <c r="G64" s="2" t="e">
        <f t="shared" si="12"/>
        <v>#VALUE!</v>
      </c>
      <c r="H64" s="2">
        <f t="shared" si="17"/>
        <v>-1.4628601669927725</v>
      </c>
      <c r="I64" s="2">
        <f t="shared" si="13"/>
        <v>10.580457309184602</v>
      </c>
    </row>
    <row r="65" spans="1:10">
      <c r="A65">
        <v>15</v>
      </c>
      <c r="B65" s="2">
        <v>0</v>
      </c>
      <c r="D65" s="2">
        <f t="shared" si="15"/>
        <v>-45.656312719030566</v>
      </c>
      <c r="E65" s="2">
        <f t="shared" si="11"/>
        <v>14.511097199546681</v>
      </c>
      <c r="F65" s="2" t="e">
        <f t="shared" si="16"/>
        <v>#VALUE!</v>
      </c>
      <c r="G65" s="2" t="e">
        <f t="shared" si="12"/>
        <v>#VALUE!</v>
      </c>
      <c r="H65" s="2">
        <f t="shared" si="17"/>
        <v>-12.043317476177375</v>
      </c>
      <c r="I65" s="2">
        <f t="shared" si="13"/>
        <v>11.162382461189756</v>
      </c>
    </row>
    <row r="66" spans="1:10">
      <c r="A66">
        <v>16</v>
      </c>
      <c r="D66" s="2">
        <f t="shared" si="15"/>
        <v>-60.167409918577249</v>
      </c>
      <c r="E66" s="2">
        <f>D66*1.055</f>
        <v>-63.476617464098993</v>
      </c>
      <c r="F66" s="2" t="e">
        <f t="shared" si="16"/>
        <v>#VALUE!</v>
      </c>
      <c r="G66" s="2" t="e">
        <f>F66*1.055</f>
        <v>#VALUE!</v>
      </c>
      <c r="H66" s="2">
        <f t="shared" si="17"/>
        <v>-23.205699937367129</v>
      </c>
      <c r="I66" s="2">
        <f t="shared" si="13"/>
        <v>11.776313496555192</v>
      </c>
    </row>
    <row r="67" spans="1:10">
      <c r="A67">
        <v>17</v>
      </c>
      <c r="D67" s="2">
        <v>0</v>
      </c>
      <c r="F67" s="2">
        <v>0</v>
      </c>
      <c r="H67" s="2">
        <f t="shared" si="17"/>
        <v>-34.982013433922319</v>
      </c>
      <c r="I67" s="2">
        <f>H67*1.055</f>
        <v>-36.906024172788044</v>
      </c>
    </row>
    <row r="68" spans="1:10">
      <c r="A68">
        <v>18</v>
      </c>
      <c r="H68" s="2">
        <v>0</v>
      </c>
    </row>
    <row r="71" spans="1:10">
      <c r="B71" t="s">
        <v>7</v>
      </c>
    </row>
    <row r="73" spans="1:10">
      <c r="B73" t="s">
        <v>8</v>
      </c>
      <c r="D73" s="1" t="s">
        <v>9</v>
      </c>
      <c r="E73" s="1" t="s">
        <v>10</v>
      </c>
      <c r="F73" s="1" t="s">
        <v>11</v>
      </c>
      <c r="G73" s="1" t="s">
        <v>12</v>
      </c>
      <c r="H73" s="1" t="s">
        <v>13</v>
      </c>
      <c r="I73" s="1" t="s">
        <v>14</v>
      </c>
      <c r="J73" s="1" t="s">
        <v>15</v>
      </c>
    </row>
    <row r="74" spans="1:10">
      <c r="B74" t="s">
        <v>16</v>
      </c>
    </row>
    <row r="75" spans="1:10">
      <c r="B75" s="1">
        <v>7.0000000000000007E-2</v>
      </c>
      <c r="D75" s="2">
        <f>23+278/700</f>
        <v>23.397142857142857</v>
      </c>
      <c r="E75" s="2">
        <f>25+455/700</f>
        <v>25.65</v>
      </c>
      <c r="F75" s="2">
        <f>28+543/700</f>
        <v>28.775714285714287</v>
      </c>
      <c r="G75" s="2">
        <f>33+282/700</f>
        <v>33.402857142857144</v>
      </c>
      <c r="H75" s="2">
        <f>41+636/700</f>
        <v>41.908571428571427</v>
      </c>
    </row>
    <row r="76" spans="1:10">
      <c r="B76" s="1">
        <v>7.4999999999999997E-2</v>
      </c>
      <c r="D76" s="2">
        <f>20+6.15/7.5</f>
        <v>20.82</v>
      </c>
      <c r="E76" s="2">
        <f>22+392/750</f>
        <v>22.522666666666666</v>
      </c>
      <c r="F76" s="2">
        <f>24+519/750</f>
        <v>24.692</v>
      </c>
      <c r="G76" s="2">
        <f>27+471/750</f>
        <v>27.628</v>
      </c>
      <c r="H76" s="2">
        <f>31+747/750</f>
        <v>31.995999999999999</v>
      </c>
      <c r="I76" s="2">
        <f>40+20/750</f>
        <v>40.026666666666664</v>
      </c>
    </row>
    <row r="77" spans="1:10">
      <c r="B77" s="1">
        <v>0.08</v>
      </c>
      <c r="D77" s="2">
        <f>18+6.28/8</f>
        <v>18.785</v>
      </c>
      <c r="E77" s="2">
        <f>20+84/800</f>
        <v>20.105</v>
      </c>
      <c r="F77" s="2">
        <f>21+584/800</f>
        <v>21.73</v>
      </c>
      <c r="G77" s="2">
        <f>23+637/800</f>
        <v>23.796250000000001</v>
      </c>
      <c r="H77" s="2">
        <f>26+471/800</f>
        <v>26.588750000000001</v>
      </c>
      <c r="I77" s="2">
        <f>30+593/800</f>
        <v>30.741250000000001</v>
      </c>
      <c r="J77" s="2">
        <f>38+276/800</f>
        <v>38.344999999999999</v>
      </c>
    </row>
    <row r="78" spans="1:10">
      <c r="B78" s="1">
        <v>8.5000000000000006E-2</v>
      </c>
      <c r="D78" s="2">
        <f>17+1.08/8.5</f>
        <v>17.127058823529413</v>
      </c>
      <c r="E78" s="2">
        <f>18+16.1/85</f>
        <v>18.189411764705881</v>
      </c>
      <c r="F78" s="2">
        <f>19+39/85</f>
        <v>19.458823529411763</v>
      </c>
      <c r="G78" s="2">
        <f>21+0.2/85</f>
        <v>21.002352941176472</v>
      </c>
      <c r="H78" s="2">
        <f>22+83/85</f>
        <v>22.976470588235294</v>
      </c>
      <c r="I78" s="2">
        <f>25+54.9/85</f>
        <v>25.645882352941175</v>
      </c>
      <c r="J78" s="2">
        <f>33+51/85</f>
        <v>33.6</v>
      </c>
    </row>
    <row r="79" spans="1:10">
      <c r="B79" s="1">
        <v>0.09</v>
      </c>
      <c r="D79" s="2">
        <f>15+6.76/9</f>
        <v>15.751111111111111</v>
      </c>
      <c r="E79" s="2">
        <f>16+5.64/9</f>
        <v>16.626666666666665</v>
      </c>
      <c r="F79" s="2">
        <f>17+5.82/9</f>
        <v>17.646666666666668</v>
      </c>
      <c r="G79" s="2">
        <f>18+7.72/9</f>
        <v>18.857777777777777</v>
      </c>
      <c r="H79" s="2">
        <f>20+3.13/9</f>
        <v>20.347777777777779</v>
      </c>
      <c r="I79" s="2">
        <f>22+2.13/9</f>
        <v>22.236666666666668</v>
      </c>
      <c r="J79" s="2">
        <f>24+7.03/9</f>
        <v>24.781111111111112</v>
      </c>
    </row>
    <row r="80" spans="1:10">
      <c r="B80" s="1">
        <v>9.5000000000000001E-2</v>
      </c>
      <c r="D80" s="2">
        <f>14+558/950</f>
        <v>14.587368421052631</v>
      </c>
      <c r="E80" s="2">
        <f>15+304/950</f>
        <v>15.32</v>
      </c>
      <c r="F80" s="2">
        <f>16+151/950</f>
        <v>16.158947368421053</v>
      </c>
      <c r="G80" s="2">
        <f>17+133/950</f>
        <v>17.14</v>
      </c>
      <c r="H80" s="2">
        <f>18+295/950</f>
        <v>18.310526315789474</v>
      </c>
      <c r="I80" s="2">
        <f>19+701/950</f>
        <v>19.737894736842104</v>
      </c>
      <c r="J80" s="2">
        <f>21+526/950</f>
        <v>21.553684210526317</v>
      </c>
    </row>
    <row r="81" spans="2:10">
      <c r="B81" s="1">
        <v>0.1</v>
      </c>
      <c r="D81" s="2">
        <v>13.587</v>
      </c>
      <c r="E81" s="2">
        <v>14.211</v>
      </c>
      <c r="F81" s="2">
        <v>14.916</v>
      </c>
      <c r="G81" s="2">
        <v>15.73</v>
      </c>
      <c r="H81" s="2">
        <v>16.670999999999999</v>
      </c>
      <c r="I81" s="2">
        <v>17.8</v>
      </c>
      <c r="J81" s="2">
        <v>19.173999999999999</v>
      </c>
    </row>
    <row r="82" spans="2:10">
      <c r="B82" s="1">
        <v>0.105</v>
      </c>
      <c r="D82" s="2">
        <f>12+754/1050</f>
        <v>12.718095238095238</v>
      </c>
      <c r="E82" s="2">
        <f>13+271/1050</f>
        <v>13.258095238095239</v>
      </c>
      <c r="F82" s="2">
        <f>13+904/1050</f>
        <v>13.86095238095238</v>
      </c>
      <c r="G82" s="2">
        <f>14+576/1050</f>
        <v>14.548571428571428</v>
      </c>
      <c r="H82" s="2">
        <f>15+348/1050</f>
        <v>15.331428571428571</v>
      </c>
      <c r="I82" s="2">
        <f>16+256/1050</f>
        <v>16.243809523809524</v>
      </c>
      <c r="J82" s="2">
        <f>17+347/1050</f>
        <v>17.33047619047619</v>
      </c>
    </row>
    <row r="83" spans="2:10">
      <c r="B83" s="1">
        <v>0.11</v>
      </c>
      <c r="D83" s="2">
        <f>11+105/1100</f>
        <v>11.095454545454546</v>
      </c>
      <c r="E83" s="2">
        <f>12+4.72/11</f>
        <v>12.42909090909091</v>
      </c>
      <c r="F83" s="2">
        <f>12+10.42/11</f>
        <v>12.947272727272727</v>
      </c>
      <c r="G83" s="2">
        <f>13+5.92/11</f>
        <v>13.538181818181819</v>
      </c>
      <c r="H83" s="2">
        <f>14+2.18/11</f>
        <v>14.198181818181817</v>
      </c>
      <c r="I83" s="2">
        <f>14+10.48/11</f>
        <v>14.952727272727273</v>
      </c>
      <c r="J83" s="2">
        <f>15+9.23/11</f>
        <v>15.83909090909091</v>
      </c>
    </row>
    <row r="84" spans="2:10">
      <c r="B84" s="1">
        <v>0.115</v>
      </c>
      <c r="D84" s="2">
        <f>11+325/1150</f>
        <v>11.282608695652174</v>
      </c>
      <c r="E84" s="2">
        <f>11+804/1150</f>
        <v>11.699130434782608</v>
      </c>
      <c r="F84" s="2">
        <f>12+178/1150</f>
        <v>12.154782608695653</v>
      </c>
      <c r="G84" s="2">
        <f>12+765/1150</f>
        <v>12.665217391304347</v>
      </c>
      <c r="H84" s="2">
        <f>13+266/1150</f>
        <v>13.231304347826088</v>
      </c>
      <c r="I84" s="2">
        <f>13+1002/1150</f>
        <v>13.871304347826086</v>
      </c>
      <c r="J84" s="2">
        <f>14+703/1150</f>
        <v>14.611304347826087</v>
      </c>
    </row>
    <row r="85" spans="2:10">
      <c r="B85" s="1">
        <v>0.12</v>
      </c>
      <c r="D85" s="2">
        <f>10+819/1200</f>
        <v>10.682499999999999</v>
      </c>
      <c r="E85" s="2">
        <f>11+58/1200</f>
        <v>11.048333333333334</v>
      </c>
      <c r="F85" s="2">
        <f>11+549/1200</f>
        <v>11.4575</v>
      </c>
      <c r="G85" s="2">
        <f>11+1078/1200</f>
        <v>11.898333333333333</v>
      </c>
      <c r="H85" s="2">
        <f>12+475/1200</f>
        <v>12.395833333333334</v>
      </c>
      <c r="I85" s="2">
        <f>12+1130/1200</f>
        <v>12.941666666666666</v>
      </c>
      <c r="J85" s="2">
        <f>13+685/1200</f>
        <v>13.570833333333333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00"/>
  <sheetViews>
    <sheetView workbookViewId="0"/>
  </sheetViews>
  <sheetFormatPr defaultRowHeight="12.75"/>
  <sheetData>
    <row r="1" spans="1:9">
      <c r="C1" t="s">
        <v>142</v>
      </c>
      <c r="G1" t="s">
        <v>141</v>
      </c>
      <c r="I1" t="s">
        <v>140</v>
      </c>
    </row>
    <row r="2" spans="1:9">
      <c r="C2" t="s">
        <v>139</v>
      </c>
      <c r="G2" t="s">
        <v>138</v>
      </c>
      <c r="I2" t="s">
        <v>137</v>
      </c>
    </row>
    <row r="3" spans="1:9">
      <c r="A3" t="s">
        <v>136</v>
      </c>
      <c r="B3" t="s">
        <v>135</v>
      </c>
      <c r="C3" t="s">
        <v>134</v>
      </c>
      <c r="E3" t="s">
        <v>81</v>
      </c>
      <c r="G3" t="s">
        <v>133</v>
      </c>
      <c r="H3" t="s">
        <v>132</v>
      </c>
    </row>
    <row r="4" spans="1:9">
      <c r="A4">
        <v>1752</v>
      </c>
      <c r="B4">
        <v>5.0205099595776903E-2</v>
      </c>
      <c r="C4">
        <v>591.9</v>
      </c>
      <c r="D4">
        <f>C4/10000</f>
        <v>5.919E-2</v>
      </c>
      <c r="E4">
        <v>606</v>
      </c>
      <c r="F4">
        <f>E4/10000</f>
        <v>6.0600000000000001E-2</v>
      </c>
    </row>
    <row r="5" spans="1:9">
      <c r="A5">
        <v>1753</v>
      </c>
      <c r="B5">
        <v>5.0106068785566199E-2</v>
      </c>
      <c r="C5">
        <v>590.1</v>
      </c>
      <c r="D5">
        <v>5.901E-2</v>
      </c>
      <c r="E5">
        <v>579</v>
      </c>
      <c r="F5">
        <v>5.79E-2</v>
      </c>
    </row>
    <row r="6" spans="1:9">
      <c r="A6">
        <v>1754</v>
      </c>
      <c r="B6">
        <v>4.9698143357305297E-2</v>
      </c>
      <c r="C6">
        <v>593.5</v>
      </c>
      <c r="D6">
        <v>5.935E-2</v>
      </c>
      <c r="E6">
        <v>567</v>
      </c>
      <c r="F6">
        <v>5.67E-2</v>
      </c>
    </row>
    <row r="7" spans="1:9">
      <c r="A7">
        <v>1755</v>
      </c>
      <c r="B7">
        <v>5.0325826014553203E-2</v>
      </c>
      <c r="C7">
        <v>594</v>
      </c>
      <c r="D7">
        <v>5.9400000000000001E-2</v>
      </c>
      <c r="E7">
        <v>554</v>
      </c>
      <c r="F7">
        <v>5.5399999999999998E-2</v>
      </c>
    </row>
    <row r="8" spans="1:9">
      <c r="A8">
        <v>1756</v>
      </c>
      <c r="B8">
        <v>5.0566644484217098E-2</v>
      </c>
      <c r="C8">
        <v>591.29999999999995</v>
      </c>
      <c r="D8">
        <v>5.9130000000000002E-2</v>
      </c>
      <c r="E8">
        <v>570</v>
      </c>
      <c r="F8">
        <v>5.7000000000000002E-2</v>
      </c>
    </row>
    <row r="9" spans="1:9">
      <c r="A9">
        <v>1757</v>
      </c>
      <c r="B9">
        <v>5.1452887066511702E-2</v>
      </c>
      <c r="C9">
        <v>587.6</v>
      </c>
      <c r="D9">
        <v>5.876E-2</v>
      </c>
      <c r="E9">
        <v>617</v>
      </c>
      <c r="F9">
        <v>6.1699999999999998E-2</v>
      </c>
    </row>
    <row r="10" spans="1:9">
      <c r="A10">
        <v>1758</v>
      </c>
      <c r="B10">
        <v>5.2372869976675999E-2</v>
      </c>
      <c r="C10">
        <v>587.5</v>
      </c>
      <c r="D10">
        <v>5.8749999999999997E-2</v>
      </c>
      <c r="E10">
        <v>614</v>
      </c>
      <c r="F10">
        <v>6.1400000000000003E-2</v>
      </c>
    </row>
    <row r="11" spans="1:9">
      <c r="A11">
        <v>1759</v>
      </c>
      <c r="B11">
        <v>5.4456298209400698E-2</v>
      </c>
      <c r="C11">
        <v>590.6</v>
      </c>
      <c r="D11">
        <v>5.9060000000000001E-2</v>
      </c>
      <c r="E11">
        <v>625</v>
      </c>
      <c r="F11">
        <v>6.25E-2</v>
      </c>
    </row>
    <row r="12" spans="1:9">
      <c r="A12">
        <v>1760</v>
      </c>
      <c r="B12">
        <v>6.7875252361055502E-2</v>
      </c>
      <c r="C12">
        <v>596.1</v>
      </c>
      <c r="D12">
        <v>5.9610000000000003E-2</v>
      </c>
      <c r="E12">
        <v>605</v>
      </c>
      <c r="F12">
        <v>6.0499999999999998E-2</v>
      </c>
    </row>
    <row r="13" spans="1:9">
      <c r="A13">
        <v>1761</v>
      </c>
      <c r="B13">
        <v>6.9406094808353497E-2</v>
      </c>
      <c r="C13">
        <v>606.29999999999995</v>
      </c>
      <c r="D13">
        <v>6.0630000000000003E-2</v>
      </c>
      <c r="E13">
        <v>576</v>
      </c>
      <c r="F13">
        <v>5.7599999999999998E-2</v>
      </c>
    </row>
    <row r="14" spans="1:9">
      <c r="A14">
        <v>1762</v>
      </c>
      <c r="B14">
        <v>6.9363006892540893E-2</v>
      </c>
      <c r="C14">
        <v>615.29999999999995</v>
      </c>
      <c r="D14">
        <v>6.1530000000000001E-2</v>
      </c>
      <c r="E14">
        <v>569</v>
      </c>
      <c r="F14">
        <v>5.6899999999999999E-2</v>
      </c>
    </row>
    <row r="15" spans="1:9">
      <c r="A15">
        <v>1763</v>
      </c>
      <c r="B15">
        <v>5.9776955507911698E-2</v>
      </c>
      <c r="C15">
        <v>626.6</v>
      </c>
      <c r="D15">
        <v>6.2659999999999993E-2</v>
      </c>
      <c r="E15">
        <v>578</v>
      </c>
      <c r="F15">
        <v>5.7799999999999997E-2</v>
      </c>
    </row>
    <row r="16" spans="1:9">
      <c r="A16">
        <v>1764</v>
      </c>
      <c r="B16">
        <v>5.7014605589932897E-2</v>
      </c>
      <c r="C16">
        <v>637.4</v>
      </c>
      <c r="D16">
        <v>6.3740000000000005E-2</v>
      </c>
      <c r="E16">
        <v>598</v>
      </c>
      <c r="F16">
        <v>5.9799999999999999E-2</v>
      </c>
    </row>
    <row r="17" spans="1:8">
      <c r="A17">
        <v>1765</v>
      </c>
      <c r="B17">
        <v>5.9623027574923597E-2</v>
      </c>
      <c r="C17">
        <v>655.8</v>
      </c>
      <c r="D17">
        <v>6.5579999999999999E-2</v>
      </c>
      <c r="E17">
        <v>609</v>
      </c>
      <c r="F17">
        <v>6.0900000000000003E-2</v>
      </c>
    </row>
    <row r="18" spans="1:8">
      <c r="A18">
        <v>1766</v>
      </c>
      <c r="B18">
        <v>6.3256940221592506E-2</v>
      </c>
      <c r="C18">
        <v>678.3</v>
      </c>
      <c r="D18">
        <v>6.7830000000000001E-2</v>
      </c>
      <c r="E18">
        <v>672</v>
      </c>
      <c r="F18">
        <v>6.7199999999999996E-2</v>
      </c>
    </row>
    <row r="19" spans="1:8">
      <c r="A19">
        <v>1767</v>
      </c>
      <c r="B19">
        <v>6.7614239099037604E-2</v>
      </c>
      <c r="C19">
        <v>697.6</v>
      </c>
      <c r="D19">
        <v>6.9760000000000003E-2</v>
      </c>
      <c r="E19">
        <v>707</v>
      </c>
      <c r="F19">
        <v>7.0699999999999999E-2</v>
      </c>
    </row>
    <row r="20" spans="1:8">
      <c r="A20">
        <v>1768</v>
      </c>
      <c r="B20">
        <v>6.3737937408013104E-2</v>
      </c>
      <c r="C20">
        <v>715.3</v>
      </c>
      <c r="D20">
        <v>7.1529999999999996E-2</v>
      </c>
      <c r="E20">
        <v>727</v>
      </c>
      <c r="F20">
        <v>7.2700000000000001E-2</v>
      </c>
    </row>
    <row r="21" spans="1:8">
      <c r="A21">
        <v>1769</v>
      </c>
      <c r="B21">
        <v>7.1286099755040105E-2</v>
      </c>
      <c r="C21">
        <v>728</v>
      </c>
      <c r="D21">
        <v>7.2800000000000004E-2</v>
      </c>
      <c r="E21">
        <v>733</v>
      </c>
      <c r="F21">
        <v>7.3300000000000004E-2</v>
      </c>
    </row>
    <row r="22" spans="1:8">
      <c r="A22">
        <v>1770</v>
      </c>
      <c r="B22">
        <v>9.3976948120224599E-2</v>
      </c>
      <c r="C22">
        <v>742.2</v>
      </c>
      <c r="D22">
        <v>7.4219999999999994E-2</v>
      </c>
      <c r="E22">
        <v>789</v>
      </c>
      <c r="F22">
        <v>7.8899999999999998E-2</v>
      </c>
    </row>
    <row r="23" spans="1:8">
      <c r="A23">
        <v>1771</v>
      </c>
      <c r="B23">
        <v>9.9464877900046905E-2</v>
      </c>
      <c r="C23">
        <v>745.6</v>
      </c>
      <c r="D23">
        <v>7.4560000000000001E-2</v>
      </c>
      <c r="E23">
        <v>801</v>
      </c>
      <c r="F23">
        <v>8.0100000000000005E-2</v>
      </c>
    </row>
    <row r="24" spans="1:8">
      <c r="A24">
        <v>1772</v>
      </c>
      <c r="B24">
        <v>8.9663525857965595E-2</v>
      </c>
      <c r="C24">
        <v>749.2</v>
      </c>
      <c r="D24">
        <v>7.492E-2</v>
      </c>
      <c r="E24">
        <v>762</v>
      </c>
      <c r="F24">
        <v>7.6200000000000004E-2</v>
      </c>
    </row>
    <row r="25" spans="1:8">
      <c r="A25">
        <v>1773</v>
      </c>
      <c r="B25">
        <v>7.5557107643717994E-2</v>
      </c>
      <c r="C25">
        <v>755</v>
      </c>
      <c r="D25">
        <v>7.5499999999999998E-2</v>
      </c>
      <c r="E25">
        <v>755</v>
      </c>
      <c r="F25">
        <v>7.5499999999999998E-2</v>
      </c>
    </row>
    <row r="26" spans="1:8">
      <c r="A26">
        <v>1774</v>
      </c>
      <c r="B26">
        <v>6.7403829924184602E-2</v>
      </c>
      <c r="C26">
        <v>754.3</v>
      </c>
      <c r="D26">
        <v>7.5429999999999997E-2</v>
      </c>
      <c r="E26">
        <v>725</v>
      </c>
      <c r="F26">
        <v>7.2499999999999995E-2</v>
      </c>
    </row>
    <row r="27" spans="1:8">
      <c r="A27">
        <v>1775</v>
      </c>
      <c r="B27">
        <v>5.7134651434142501E-2</v>
      </c>
      <c r="C27">
        <v>743.9</v>
      </c>
      <c r="D27">
        <v>7.4389999999999998E-2</v>
      </c>
      <c r="E27">
        <v>751</v>
      </c>
      <c r="F27">
        <v>7.51E-2</v>
      </c>
    </row>
    <row r="28" spans="1:8">
      <c r="A28">
        <v>1776</v>
      </c>
      <c r="B28">
        <v>5.69965311360714E-2</v>
      </c>
      <c r="C28">
        <v>736.3</v>
      </c>
      <c r="D28">
        <v>7.3630000000000001E-2</v>
      </c>
      <c r="E28">
        <v>706</v>
      </c>
      <c r="F28">
        <v>7.0599999999999996E-2</v>
      </c>
    </row>
    <row r="29" spans="1:8">
      <c r="A29">
        <v>1777</v>
      </c>
      <c r="B29">
        <v>5.8782648737623198E-2</v>
      </c>
      <c r="C29">
        <v>735.9</v>
      </c>
      <c r="D29">
        <v>7.3590000000000003E-2</v>
      </c>
      <c r="E29">
        <v>743</v>
      </c>
      <c r="F29">
        <v>7.4300000000000005E-2</v>
      </c>
      <c r="G29">
        <v>0.2165</v>
      </c>
      <c r="H29">
        <f t="shared" ref="H29:H47" si="0">LOG(G29)</f>
        <v>-0.66454209931061581</v>
      </c>
    </row>
    <row r="30" spans="1:8">
      <c r="A30">
        <v>1778</v>
      </c>
      <c r="B30">
        <v>6.1659950719652801E-2</v>
      </c>
      <c r="C30">
        <v>737.7</v>
      </c>
      <c r="D30">
        <v>7.3770000000000002E-2</v>
      </c>
      <c r="E30">
        <v>785</v>
      </c>
      <c r="F30">
        <v>7.85E-2</v>
      </c>
      <c r="G30">
        <v>2.9175</v>
      </c>
      <c r="H30">
        <f t="shared" si="0"/>
        <v>0.46501086471740777</v>
      </c>
    </row>
    <row r="31" spans="1:8">
      <c r="A31">
        <v>1779</v>
      </c>
      <c r="B31">
        <v>6.1610626733656103E-2</v>
      </c>
      <c r="C31">
        <v>742.7</v>
      </c>
      <c r="D31">
        <v>7.4270000000000003E-2</v>
      </c>
      <c r="E31">
        <v>726</v>
      </c>
      <c r="F31">
        <v>7.2599999999999998E-2</v>
      </c>
      <c r="G31">
        <v>5.21</v>
      </c>
      <c r="H31">
        <f t="shared" si="0"/>
        <v>0.71683772329952444</v>
      </c>
    </row>
    <row r="32" spans="1:8">
      <c r="A32">
        <v>1780</v>
      </c>
      <c r="B32">
        <v>5.9525147583835598E-2</v>
      </c>
      <c r="C32">
        <v>743.8</v>
      </c>
      <c r="D32">
        <v>7.4380000000000002E-2</v>
      </c>
      <c r="E32">
        <v>685</v>
      </c>
      <c r="F32">
        <v>6.8500000000000005E-2</v>
      </c>
      <c r="G32">
        <v>11.8165</v>
      </c>
      <c r="H32">
        <f t="shared" si="0"/>
        <v>1.07248885930514</v>
      </c>
    </row>
    <row r="33" spans="1:8">
      <c r="A33">
        <v>1781</v>
      </c>
      <c r="B33">
        <v>5.9856343676944E-2</v>
      </c>
      <c r="C33">
        <v>747.9</v>
      </c>
      <c r="D33">
        <v>7.4789999999999995E-2</v>
      </c>
      <c r="E33">
        <v>725</v>
      </c>
      <c r="F33">
        <v>7.2499999999999995E-2</v>
      </c>
      <c r="G33">
        <v>18.457999999999998</v>
      </c>
      <c r="H33">
        <f t="shared" si="0"/>
        <v>1.2661846416509064</v>
      </c>
    </row>
    <row r="34" spans="1:8">
      <c r="A34">
        <v>1782</v>
      </c>
      <c r="B34">
        <v>5.9162339218122501E-2</v>
      </c>
      <c r="C34">
        <v>749.1</v>
      </c>
      <c r="D34">
        <v>7.4910000000000004E-2</v>
      </c>
      <c r="E34">
        <v>758</v>
      </c>
      <c r="F34">
        <v>7.5800000000000006E-2</v>
      </c>
      <c r="G34">
        <v>32.628</v>
      </c>
      <c r="H34">
        <f t="shared" si="0"/>
        <v>1.513590453635125</v>
      </c>
    </row>
    <row r="35" spans="1:8">
      <c r="A35">
        <v>1783</v>
      </c>
      <c r="B35">
        <v>5.84004427739616E-2</v>
      </c>
      <c r="C35">
        <v>749.3</v>
      </c>
      <c r="D35">
        <v>7.4929999999999997E-2</v>
      </c>
      <c r="E35">
        <v>773</v>
      </c>
      <c r="F35">
        <v>7.7299999999999994E-2</v>
      </c>
      <c r="G35">
        <v>28.402999999999999</v>
      </c>
      <c r="H35">
        <f t="shared" si="0"/>
        <v>1.4533642138018366</v>
      </c>
    </row>
    <row r="36" spans="1:8">
      <c r="A36">
        <v>1784</v>
      </c>
      <c r="B36">
        <v>5.8435805056447201E-2</v>
      </c>
      <c r="C36">
        <v>764.2</v>
      </c>
      <c r="D36">
        <v>7.6420000000000002E-2</v>
      </c>
      <c r="E36">
        <v>775</v>
      </c>
      <c r="F36">
        <v>7.7499999999999999E-2</v>
      </c>
      <c r="G36">
        <v>59.594999999999999</v>
      </c>
      <c r="H36">
        <f t="shared" si="0"/>
        <v>1.7752098241110441</v>
      </c>
    </row>
    <row r="37" spans="1:8">
      <c r="A37">
        <v>1785</v>
      </c>
      <c r="B37">
        <v>5.56683367340206E-2</v>
      </c>
      <c r="C37">
        <v>779.4</v>
      </c>
      <c r="D37">
        <v>7.7939999999999995E-2</v>
      </c>
      <c r="E37">
        <v>762</v>
      </c>
      <c r="F37">
        <v>7.6200000000000004E-2</v>
      </c>
      <c r="G37">
        <v>74.16</v>
      </c>
      <c r="H37">
        <f t="shared" si="0"/>
        <v>1.8701697211364408</v>
      </c>
    </row>
    <row r="38" spans="1:8">
      <c r="A38">
        <v>1786</v>
      </c>
      <c r="B38">
        <v>5.5320947030506898E-2</v>
      </c>
      <c r="C38">
        <v>784.1</v>
      </c>
      <c r="D38">
        <v>7.8409999999999994E-2</v>
      </c>
      <c r="E38">
        <v>747</v>
      </c>
      <c r="F38">
        <v>7.4700000000000003E-2</v>
      </c>
      <c r="G38">
        <v>94.715000000000003</v>
      </c>
      <c r="H38">
        <f t="shared" si="0"/>
        <v>1.9764187636005035</v>
      </c>
    </row>
    <row r="39" spans="1:8">
      <c r="A39">
        <v>1787</v>
      </c>
      <c r="B39">
        <v>5.7271868654925402E-2</v>
      </c>
      <c r="C39">
        <v>800.6</v>
      </c>
      <c r="D39">
        <v>8.0060000000000006E-2</v>
      </c>
      <c r="E39">
        <v>755</v>
      </c>
      <c r="F39">
        <v>7.5499999999999998E-2</v>
      </c>
      <c r="G39">
        <v>93.929000000000002</v>
      </c>
      <c r="H39">
        <f t="shared" si="0"/>
        <v>1.9727996987147984</v>
      </c>
    </row>
    <row r="40" spans="1:8">
      <c r="A40">
        <v>1788</v>
      </c>
      <c r="B40">
        <v>6.0379631381292903E-2</v>
      </c>
      <c r="C40">
        <v>801.5</v>
      </c>
      <c r="D40">
        <v>8.0149999999999999E-2</v>
      </c>
      <c r="E40">
        <v>787</v>
      </c>
      <c r="F40">
        <v>7.8700000000000006E-2</v>
      </c>
      <c r="G40">
        <v>87.457499999999996</v>
      </c>
      <c r="H40">
        <f t="shared" si="0"/>
        <v>1.941797058742629</v>
      </c>
    </row>
    <row r="41" spans="1:8">
      <c r="A41">
        <v>1789</v>
      </c>
      <c r="B41">
        <v>6.4738916147923806E-2</v>
      </c>
      <c r="C41">
        <v>808.4</v>
      </c>
      <c r="D41">
        <v>8.0839999999999995E-2</v>
      </c>
      <c r="E41">
        <v>875</v>
      </c>
      <c r="F41">
        <v>8.7499999999999994E-2</v>
      </c>
      <c r="G41">
        <v>105.1155</v>
      </c>
      <c r="H41">
        <f t="shared" si="0"/>
        <v>2.0216667604443934</v>
      </c>
    </row>
    <row r="42" spans="1:8">
      <c r="A42">
        <v>1790</v>
      </c>
      <c r="B42">
        <v>6.3444804851146203E-2</v>
      </c>
      <c r="C42">
        <v>827.9</v>
      </c>
      <c r="D42">
        <v>8.2790000000000002E-2</v>
      </c>
      <c r="E42">
        <v>837</v>
      </c>
      <c r="F42">
        <v>8.3699999999999997E-2</v>
      </c>
      <c r="G42">
        <v>297.02375000000001</v>
      </c>
      <c r="H42">
        <f t="shared" si="0"/>
        <v>2.4727911768645559</v>
      </c>
    </row>
    <row r="43" spans="1:8">
      <c r="A43">
        <v>1791</v>
      </c>
      <c r="B43">
        <v>5.1746257724796602E-2</v>
      </c>
      <c r="C43">
        <v>836.6</v>
      </c>
      <c r="D43">
        <v>8.3659999999999998E-2</v>
      </c>
      <c r="E43">
        <v>772</v>
      </c>
      <c r="F43">
        <v>7.7200000000000005E-2</v>
      </c>
      <c r="G43">
        <v>1042.2356666666701</v>
      </c>
      <c r="H43">
        <f t="shared" si="0"/>
        <v>3.0179659312098237</v>
      </c>
    </row>
    <row r="44" spans="1:8">
      <c r="A44">
        <v>1792</v>
      </c>
      <c r="B44">
        <v>5.5073497604792403E-2</v>
      </c>
      <c r="C44">
        <v>850</v>
      </c>
      <c r="D44">
        <v>8.5000000000000006E-2</v>
      </c>
      <c r="E44">
        <v>923</v>
      </c>
      <c r="F44">
        <v>9.2299999999999993E-2</v>
      </c>
      <c r="G44">
        <v>1799.15241666667</v>
      </c>
      <c r="H44">
        <f t="shared" si="0"/>
        <v>3.2550679565158562</v>
      </c>
    </row>
    <row r="45" spans="1:8">
      <c r="A45">
        <v>1793</v>
      </c>
      <c r="B45">
        <v>5.7745719382683497E-2</v>
      </c>
      <c r="C45">
        <v>855.7</v>
      </c>
      <c r="D45">
        <v>8.5569999999999993E-2</v>
      </c>
      <c r="E45">
        <v>782</v>
      </c>
      <c r="F45">
        <v>7.8200000000000006E-2</v>
      </c>
      <c r="G45">
        <v>3612.7790833333302</v>
      </c>
      <c r="H45">
        <f t="shared" si="0"/>
        <v>3.5578414058462879</v>
      </c>
    </row>
    <row r="46" spans="1:8">
      <c r="A46">
        <v>1794</v>
      </c>
      <c r="C46">
        <v>846.5</v>
      </c>
      <c r="D46">
        <v>8.4650000000000003E-2</v>
      </c>
      <c r="E46">
        <v>844</v>
      </c>
      <c r="F46">
        <v>8.4400000000000003E-2</v>
      </c>
      <c r="G46">
        <v>6048.3615</v>
      </c>
      <c r="H46">
        <f t="shared" si="0"/>
        <v>3.7816377402913286</v>
      </c>
    </row>
    <row r="47" spans="1:8">
      <c r="A47">
        <v>1795</v>
      </c>
      <c r="C47">
        <v>853.4</v>
      </c>
      <c r="D47">
        <v>8.5339999999999999E-2</v>
      </c>
      <c r="E47">
        <v>957</v>
      </c>
      <c r="F47">
        <v>9.5699999999999993E-2</v>
      </c>
      <c r="G47">
        <v>13738.979083333301</v>
      </c>
      <c r="H47">
        <f t="shared" si="0"/>
        <v>4.1379544623488798</v>
      </c>
    </row>
    <row r="48" spans="1:8">
      <c r="A48">
        <v>1796</v>
      </c>
      <c r="C48">
        <v>873.2</v>
      </c>
      <c r="D48">
        <v>8.7319999999999995E-2</v>
      </c>
      <c r="E48">
        <v>834</v>
      </c>
      <c r="F48">
        <v>8.3400000000000002E-2</v>
      </c>
    </row>
    <row r="49" spans="1:8">
      <c r="A49">
        <v>1797</v>
      </c>
      <c r="C49">
        <v>878.5</v>
      </c>
      <c r="D49">
        <v>8.7849999999999998E-2</v>
      </c>
      <c r="E49">
        <v>889</v>
      </c>
      <c r="F49">
        <v>8.8900000000000007E-2</v>
      </c>
    </row>
    <row r="50" spans="1:8">
      <c r="A50">
        <v>1798</v>
      </c>
      <c r="C50">
        <v>894.4</v>
      </c>
      <c r="D50">
        <v>8.9440000000000006E-2</v>
      </c>
      <c r="E50">
        <v>844</v>
      </c>
      <c r="F50">
        <v>8.4400000000000003E-2</v>
      </c>
    </row>
    <row r="51" spans="1:8">
      <c r="A51">
        <v>1799</v>
      </c>
      <c r="C51">
        <v>900</v>
      </c>
      <c r="D51">
        <v>0.09</v>
      </c>
      <c r="E51">
        <v>783</v>
      </c>
      <c r="F51">
        <v>7.8299999999999995E-2</v>
      </c>
    </row>
    <row r="52" spans="1:8">
      <c r="A52">
        <v>1800</v>
      </c>
      <c r="C52">
        <v>897.9</v>
      </c>
      <c r="D52">
        <v>8.9789999999999995E-2</v>
      </c>
      <c r="E52">
        <v>906</v>
      </c>
      <c r="F52">
        <v>9.06E-2</v>
      </c>
    </row>
    <row r="53" spans="1:8">
      <c r="A53">
        <v>1801</v>
      </c>
      <c r="B53">
        <v>9.6751757146035205E-2</v>
      </c>
      <c r="C53">
        <v>908.5</v>
      </c>
      <c r="D53">
        <v>9.085E-2</v>
      </c>
      <c r="E53">
        <v>970</v>
      </c>
      <c r="F53">
        <v>9.7000000000000003E-2</v>
      </c>
    </row>
    <row r="54" spans="1:8">
      <c r="A54">
        <v>1802</v>
      </c>
      <c r="B54">
        <v>9.15359845466832E-2</v>
      </c>
      <c r="C54">
        <v>910</v>
      </c>
      <c r="D54">
        <v>9.0999999999999998E-2</v>
      </c>
      <c r="E54">
        <v>976</v>
      </c>
      <c r="F54">
        <v>9.7600000000000006E-2</v>
      </c>
    </row>
    <row r="55" spans="1:8">
      <c r="A55">
        <v>1803</v>
      </c>
      <c r="B55">
        <v>9.3373894115032996E-2</v>
      </c>
      <c r="C55">
        <v>923.9</v>
      </c>
      <c r="D55">
        <v>9.239E-2</v>
      </c>
      <c r="E55">
        <v>941</v>
      </c>
      <c r="F55">
        <v>9.4100000000000003E-2</v>
      </c>
    </row>
    <row r="56" spans="1:8">
      <c r="A56">
        <v>1804</v>
      </c>
      <c r="B56">
        <v>8.8167303852328002E-2</v>
      </c>
      <c r="C56">
        <v>938.2</v>
      </c>
      <c r="D56">
        <v>9.3820000000000001E-2</v>
      </c>
      <c r="E56">
        <v>900</v>
      </c>
      <c r="F56">
        <v>0.09</v>
      </c>
    </row>
    <row r="57" spans="1:8">
      <c r="A57">
        <v>1805</v>
      </c>
      <c r="B57">
        <v>8.4409421885108804E-2</v>
      </c>
      <c r="C57">
        <v>944.9</v>
      </c>
      <c r="D57">
        <v>9.4490000000000005E-2</v>
      </c>
      <c r="E57">
        <v>936</v>
      </c>
      <c r="F57">
        <v>9.3600000000000003E-2</v>
      </c>
    </row>
    <row r="58" spans="1:8">
      <c r="A58">
        <v>1806</v>
      </c>
      <c r="B58">
        <v>7.6715644885486406E-2</v>
      </c>
      <c r="C58">
        <v>950.8</v>
      </c>
      <c r="D58">
        <v>9.5079999999999998E-2</v>
      </c>
      <c r="E58">
        <v>940</v>
      </c>
      <c r="F58">
        <v>9.4E-2</v>
      </c>
    </row>
    <row r="59" spans="1:8">
      <c r="A59">
        <v>1807</v>
      </c>
      <c r="B59">
        <v>6.2899797792515894E-2</v>
      </c>
      <c r="C59">
        <v>967.8</v>
      </c>
      <c r="D59">
        <v>9.6780000000000005E-2</v>
      </c>
      <c r="E59">
        <v>904</v>
      </c>
      <c r="F59">
        <v>9.0399999999999994E-2</v>
      </c>
      <c r="G59">
        <v>84.6</v>
      </c>
      <c r="H59">
        <f t="shared" ref="H59:H90" si="1">LOG(G59)</f>
        <v>1.9273703630390235</v>
      </c>
    </row>
    <row r="60" spans="1:8">
      <c r="A60">
        <v>1808</v>
      </c>
      <c r="B60">
        <v>5.9913309756052302E-2</v>
      </c>
      <c r="C60">
        <v>976.7</v>
      </c>
      <c r="D60">
        <v>9.7670000000000007E-2</v>
      </c>
      <c r="E60">
        <v>983</v>
      </c>
      <c r="F60">
        <v>9.8299999999999998E-2</v>
      </c>
      <c r="G60">
        <v>96</v>
      </c>
      <c r="H60">
        <f t="shared" si="1"/>
        <v>1.9822712330395684</v>
      </c>
    </row>
    <row r="61" spans="1:8">
      <c r="A61">
        <v>1809</v>
      </c>
      <c r="B61">
        <v>6.2652592361034404E-2</v>
      </c>
      <c r="C61">
        <v>980.2</v>
      </c>
      <c r="D61">
        <v>9.8019999999999996E-2</v>
      </c>
      <c r="E61">
        <v>926</v>
      </c>
      <c r="F61">
        <v>9.2600000000000002E-2</v>
      </c>
      <c r="G61">
        <v>94.9</v>
      </c>
      <c r="H61">
        <f t="shared" si="1"/>
        <v>1.9772662124272926</v>
      </c>
    </row>
    <row r="62" spans="1:8">
      <c r="A62">
        <v>1810</v>
      </c>
      <c r="B62">
        <v>6.18912387680624E-2</v>
      </c>
      <c r="C62">
        <v>972.7</v>
      </c>
      <c r="D62">
        <v>9.7269999999999995E-2</v>
      </c>
      <c r="E62">
        <v>973</v>
      </c>
      <c r="F62">
        <v>9.7299999999999998E-2</v>
      </c>
      <c r="G62">
        <v>101.2</v>
      </c>
      <c r="H62">
        <f t="shared" si="1"/>
        <v>2.0051805125037805</v>
      </c>
    </row>
    <row r="63" spans="1:8">
      <c r="A63">
        <v>1811</v>
      </c>
      <c r="B63">
        <v>6.1829268915302597E-2</v>
      </c>
      <c r="C63">
        <v>978.7</v>
      </c>
      <c r="D63">
        <v>9.7869999999999999E-2</v>
      </c>
      <c r="E63">
        <v>1029</v>
      </c>
      <c r="F63">
        <v>0.10290000000000001</v>
      </c>
      <c r="G63">
        <v>101</v>
      </c>
      <c r="H63">
        <f t="shared" si="1"/>
        <v>2.0043213737826426</v>
      </c>
    </row>
    <row r="64" spans="1:8">
      <c r="A64">
        <v>1812</v>
      </c>
      <c r="B64">
        <v>6.1517056084893898E-2</v>
      </c>
      <c r="C64">
        <v>999.7</v>
      </c>
      <c r="D64">
        <v>9.9970000000000003E-2</v>
      </c>
      <c r="E64">
        <v>1146</v>
      </c>
      <c r="F64">
        <v>0.11459999999999999</v>
      </c>
      <c r="G64">
        <v>111.4</v>
      </c>
      <c r="H64">
        <f t="shared" si="1"/>
        <v>2.0468851908377101</v>
      </c>
    </row>
    <row r="65" spans="1:8">
      <c r="A65">
        <v>1813</v>
      </c>
      <c r="B65">
        <v>7.3315071714309302E-2</v>
      </c>
      <c r="C65">
        <v>1002</v>
      </c>
      <c r="D65">
        <v>0.1002</v>
      </c>
      <c r="E65">
        <v>1030</v>
      </c>
      <c r="F65">
        <v>0.10299999999999999</v>
      </c>
      <c r="G65">
        <v>80.900000000000006</v>
      </c>
      <c r="H65">
        <f t="shared" si="1"/>
        <v>1.9079485216122722</v>
      </c>
    </row>
    <row r="66" spans="1:8">
      <c r="A66">
        <v>1814</v>
      </c>
      <c r="B66">
        <v>7.9936164230270196E-2</v>
      </c>
      <c r="C66">
        <v>995</v>
      </c>
      <c r="D66">
        <v>9.9500000000000005E-2</v>
      </c>
      <c r="E66">
        <v>935</v>
      </c>
      <c r="F66">
        <v>9.35E-2</v>
      </c>
      <c r="G66">
        <v>27.5</v>
      </c>
      <c r="H66">
        <f t="shared" si="1"/>
        <v>1.4393326938302626</v>
      </c>
    </row>
    <row r="67" spans="1:8">
      <c r="A67">
        <v>1815</v>
      </c>
      <c r="B67">
        <v>7.9996107885146495E-2</v>
      </c>
      <c r="C67">
        <v>986.6</v>
      </c>
      <c r="D67">
        <v>9.8659999999999998E-2</v>
      </c>
      <c r="E67">
        <v>861</v>
      </c>
      <c r="F67">
        <v>8.6099999999999996E-2</v>
      </c>
      <c r="G67">
        <v>40.9</v>
      </c>
      <c r="H67">
        <f t="shared" si="1"/>
        <v>1.6117233080073419</v>
      </c>
    </row>
    <row r="68" spans="1:8">
      <c r="A68">
        <v>1816</v>
      </c>
      <c r="B68">
        <v>8.5327133227755897E-2</v>
      </c>
      <c r="C68">
        <v>968.9</v>
      </c>
      <c r="D68">
        <v>9.6890000000000004E-2</v>
      </c>
      <c r="E68">
        <v>1000</v>
      </c>
      <c r="F68">
        <v>0.1</v>
      </c>
      <c r="G68">
        <v>69.099999999999994</v>
      </c>
      <c r="H68">
        <f t="shared" si="1"/>
        <v>1.8394780473741983</v>
      </c>
    </row>
    <row r="69" spans="1:8">
      <c r="A69">
        <v>1817</v>
      </c>
      <c r="B69">
        <v>7.7988248535002302E-2</v>
      </c>
      <c r="C69">
        <v>940.6</v>
      </c>
      <c r="D69">
        <v>9.4060000000000005E-2</v>
      </c>
      <c r="E69">
        <v>1114</v>
      </c>
      <c r="F69">
        <v>0.1114</v>
      </c>
      <c r="G69">
        <v>83.5</v>
      </c>
      <c r="H69">
        <f t="shared" si="1"/>
        <v>1.9216864754836021</v>
      </c>
    </row>
    <row r="70" spans="1:8">
      <c r="A70">
        <v>1818</v>
      </c>
      <c r="B70">
        <v>7.1277257034537897E-2</v>
      </c>
      <c r="C70">
        <v>927.9</v>
      </c>
      <c r="D70">
        <v>9.2789999999999997E-2</v>
      </c>
      <c r="E70">
        <v>1006</v>
      </c>
      <c r="F70">
        <v>0.10059999999999999</v>
      </c>
      <c r="G70">
        <v>99.6</v>
      </c>
      <c r="H70">
        <f t="shared" si="1"/>
        <v>1.9982593384236986</v>
      </c>
    </row>
    <row r="71" spans="1:8">
      <c r="A71">
        <v>1819</v>
      </c>
      <c r="B71">
        <v>7.2576191897615105E-2</v>
      </c>
      <c r="C71">
        <v>920.6</v>
      </c>
      <c r="D71">
        <v>9.2060000000000003E-2</v>
      </c>
      <c r="E71">
        <v>856</v>
      </c>
      <c r="F71">
        <v>8.5599999999999996E-2</v>
      </c>
      <c r="G71">
        <v>102</v>
      </c>
      <c r="H71">
        <f t="shared" si="1"/>
        <v>2.0086001717619175</v>
      </c>
    </row>
    <row r="72" spans="1:8">
      <c r="A72">
        <v>1820</v>
      </c>
      <c r="B72">
        <v>6.6593469512744405E-2</v>
      </c>
      <c r="C72">
        <v>928.3</v>
      </c>
      <c r="D72">
        <v>9.2829999999999996E-2</v>
      </c>
      <c r="E72">
        <v>889</v>
      </c>
      <c r="F72">
        <v>8.8900000000000007E-2</v>
      </c>
      <c r="G72">
        <v>153.80000000000001</v>
      </c>
      <c r="H72">
        <f t="shared" si="1"/>
        <v>2.1869563354654122</v>
      </c>
    </row>
    <row r="73" spans="1:8">
      <c r="A73">
        <v>1821</v>
      </c>
      <c r="B73">
        <v>5.8840706220730003E-2</v>
      </c>
      <c r="C73">
        <v>919.6</v>
      </c>
      <c r="D73">
        <v>9.196E-2</v>
      </c>
      <c r="E73">
        <v>852</v>
      </c>
      <c r="F73">
        <v>8.5199999999999998E-2</v>
      </c>
      <c r="G73">
        <v>179.6</v>
      </c>
      <c r="H73">
        <f t="shared" si="1"/>
        <v>2.2543063323312857</v>
      </c>
    </row>
    <row r="74" spans="1:8">
      <c r="A74">
        <v>1822</v>
      </c>
      <c r="B74">
        <v>5.5575949103425698E-2</v>
      </c>
      <c r="C74">
        <v>901.2</v>
      </c>
      <c r="D74">
        <v>9.0120000000000006E-2</v>
      </c>
      <c r="E74">
        <v>863</v>
      </c>
      <c r="F74">
        <v>8.6300000000000002E-2</v>
      </c>
      <c r="G74">
        <v>187.4</v>
      </c>
      <c r="H74">
        <f t="shared" si="1"/>
        <v>2.2727695865517594</v>
      </c>
    </row>
    <row r="75" spans="1:8">
      <c r="A75">
        <v>1823</v>
      </c>
      <c r="B75">
        <v>5.7786561926506601E-2</v>
      </c>
      <c r="C75">
        <v>891.9</v>
      </c>
      <c r="D75">
        <v>8.9190000000000005E-2</v>
      </c>
      <c r="E75">
        <v>903</v>
      </c>
      <c r="F75">
        <v>9.0300000000000005E-2</v>
      </c>
      <c r="G75">
        <v>189</v>
      </c>
      <c r="H75">
        <f t="shared" si="1"/>
        <v>2.2764618041732443</v>
      </c>
    </row>
    <row r="76" spans="1:8">
      <c r="A76">
        <v>1824</v>
      </c>
      <c r="B76">
        <v>4.9668937538359298E-2</v>
      </c>
      <c r="C76">
        <v>902</v>
      </c>
      <c r="D76">
        <v>9.0200000000000002E-2</v>
      </c>
      <c r="E76">
        <v>862</v>
      </c>
      <c r="F76">
        <v>8.6199999999999999E-2</v>
      </c>
      <c r="G76">
        <v>222.2</v>
      </c>
      <c r="H76">
        <f t="shared" si="1"/>
        <v>2.3467440546048488</v>
      </c>
    </row>
    <row r="77" spans="1:8">
      <c r="A77">
        <v>1825</v>
      </c>
      <c r="B77">
        <v>4.9503087252652199E-2</v>
      </c>
      <c r="C77">
        <v>910.1</v>
      </c>
      <c r="D77">
        <v>9.1009999999999994E-2</v>
      </c>
      <c r="E77">
        <v>938</v>
      </c>
      <c r="F77">
        <v>9.3799999999999994E-2</v>
      </c>
      <c r="G77">
        <v>218.1</v>
      </c>
      <c r="H77">
        <f t="shared" si="1"/>
        <v>2.3386556655787003</v>
      </c>
    </row>
    <row r="78" spans="1:8">
      <c r="A78">
        <v>1826</v>
      </c>
      <c r="B78">
        <v>5.08523239776262E-2</v>
      </c>
      <c r="C78">
        <v>915.7</v>
      </c>
      <c r="D78">
        <v>9.1569999999999999E-2</v>
      </c>
      <c r="E78">
        <v>913</v>
      </c>
      <c r="F78">
        <v>9.1300000000000006E-2</v>
      </c>
      <c r="G78">
        <v>169</v>
      </c>
      <c r="H78">
        <f t="shared" si="1"/>
        <v>2.2278867046136734</v>
      </c>
    </row>
    <row r="79" spans="1:8">
      <c r="A79">
        <v>1827</v>
      </c>
      <c r="B79">
        <v>4.9340745223540199E-2</v>
      </c>
      <c r="C79">
        <v>917.4</v>
      </c>
      <c r="D79">
        <v>9.1740000000000002E-2</v>
      </c>
      <c r="E79">
        <v>930</v>
      </c>
      <c r="F79">
        <v>9.2999999999999999E-2</v>
      </c>
      <c r="G79">
        <v>190.9</v>
      </c>
      <c r="H79">
        <f t="shared" si="1"/>
        <v>2.2808059283936668</v>
      </c>
    </row>
    <row r="80" spans="1:8">
      <c r="A80">
        <v>1828</v>
      </c>
      <c r="B80">
        <v>4.7755042036418303E-2</v>
      </c>
      <c r="C80">
        <v>915.7</v>
      </c>
      <c r="D80">
        <v>9.1569999999999999E-2</v>
      </c>
      <c r="E80">
        <v>913</v>
      </c>
      <c r="F80">
        <v>9.1300000000000006E-2</v>
      </c>
      <c r="G80">
        <v>198.8</v>
      </c>
      <c r="H80">
        <f t="shared" si="1"/>
        <v>2.2984163800612945</v>
      </c>
    </row>
    <row r="81" spans="1:8">
      <c r="A81">
        <v>1829</v>
      </c>
      <c r="B81">
        <v>4.6034228462073903E-2</v>
      </c>
      <c r="C81">
        <v>917.5</v>
      </c>
      <c r="D81">
        <v>9.1749999999999998E-2</v>
      </c>
      <c r="E81">
        <v>957</v>
      </c>
      <c r="F81">
        <v>9.5699999999999993E-2</v>
      </c>
      <c r="G81">
        <v>200.7</v>
      </c>
      <c r="H81">
        <f t="shared" si="1"/>
        <v>2.3025473724874854</v>
      </c>
    </row>
    <row r="82" spans="1:8">
      <c r="A82">
        <v>1830</v>
      </c>
      <c r="B82">
        <v>4.9402930240824698E-2</v>
      </c>
      <c r="C82">
        <v>913.3</v>
      </c>
      <c r="D82">
        <v>9.1329999999999995E-2</v>
      </c>
      <c r="E82">
        <v>970</v>
      </c>
      <c r="F82">
        <v>9.7000000000000003E-2</v>
      </c>
      <c r="G82">
        <v>223.6</v>
      </c>
      <c r="H82">
        <f t="shared" si="1"/>
        <v>2.3494717992143856</v>
      </c>
    </row>
    <row r="83" spans="1:8">
      <c r="A83">
        <v>1831</v>
      </c>
      <c r="B83">
        <v>5.6151447083401203E-2</v>
      </c>
      <c r="C83">
        <v>913.3</v>
      </c>
      <c r="D83">
        <v>9.1329999999999995E-2</v>
      </c>
      <c r="E83">
        <v>908</v>
      </c>
      <c r="F83">
        <v>9.0800000000000006E-2</v>
      </c>
      <c r="G83">
        <v>216.5</v>
      </c>
      <c r="H83">
        <f t="shared" si="1"/>
        <v>2.3354579006893843</v>
      </c>
    </row>
    <row r="84" spans="1:8">
      <c r="A84">
        <v>1832</v>
      </c>
      <c r="B84">
        <v>5.1712528910742399E-2</v>
      </c>
      <c r="C84">
        <v>904.9</v>
      </c>
      <c r="D84">
        <v>9.0490000000000001E-2</v>
      </c>
      <c r="E84">
        <v>880</v>
      </c>
      <c r="F84">
        <v>8.7999999999999995E-2</v>
      </c>
      <c r="G84">
        <v>233.4</v>
      </c>
      <c r="H84">
        <f t="shared" si="1"/>
        <v>2.3681008517093516</v>
      </c>
    </row>
    <row r="85" spans="1:8">
      <c r="A85">
        <v>1833</v>
      </c>
      <c r="B85">
        <v>4.8574643603736402E-2</v>
      </c>
      <c r="C85">
        <v>899.9</v>
      </c>
      <c r="D85">
        <v>8.9990000000000001E-2</v>
      </c>
      <c r="E85">
        <v>886</v>
      </c>
      <c r="F85">
        <v>8.8599999999999998E-2</v>
      </c>
      <c r="G85">
        <v>212.1</v>
      </c>
      <c r="H85">
        <f t="shared" si="1"/>
        <v>2.3265406685165617</v>
      </c>
    </row>
    <row r="86" spans="1:8">
      <c r="A86">
        <v>1834</v>
      </c>
      <c r="B86">
        <v>4.73711884946778E-2</v>
      </c>
      <c r="C86">
        <v>888.7</v>
      </c>
      <c r="D86">
        <v>8.8870000000000005E-2</v>
      </c>
      <c r="E86">
        <v>880</v>
      </c>
      <c r="F86">
        <v>8.7999999999999995E-2</v>
      </c>
      <c r="G86">
        <v>206.2</v>
      </c>
      <c r="H86">
        <f t="shared" si="1"/>
        <v>2.3142886609474975</v>
      </c>
    </row>
    <row r="87" spans="1:8">
      <c r="A87">
        <v>1835</v>
      </c>
      <c r="B87">
        <v>4.6204465413160298E-2</v>
      </c>
      <c r="C87">
        <v>876.8</v>
      </c>
      <c r="D87">
        <v>8.7679999999999994E-2</v>
      </c>
      <c r="E87">
        <v>896</v>
      </c>
      <c r="F87">
        <v>8.9599999999999999E-2</v>
      </c>
      <c r="G87">
        <v>221.9</v>
      </c>
      <c r="H87">
        <f t="shared" si="1"/>
        <v>2.3461573022320081</v>
      </c>
    </row>
    <row r="88" spans="1:8">
      <c r="A88">
        <v>1836</v>
      </c>
      <c r="B88">
        <v>4.6313079948676901E-2</v>
      </c>
      <c r="C88">
        <v>874.1</v>
      </c>
      <c r="D88">
        <v>8.7410000000000002E-2</v>
      </c>
      <c r="E88">
        <v>913</v>
      </c>
      <c r="F88">
        <v>9.1300000000000006E-2</v>
      </c>
      <c r="G88">
        <v>213.6</v>
      </c>
      <c r="H88">
        <f t="shared" si="1"/>
        <v>2.3296012483565187</v>
      </c>
    </row>
    <row r="89" spans="1:8">
      <c r="A89">
        <v>1837</v>
      </c>
      <c r="B89">
        <v>4.5986668806087497E-2</v>
      </c>
      <c r="C89">
        <v>874.2</v>
      </c>
      <c r="D89">
        <v>8.7419999999999998E-2</v>
      </c>
      <c r="E89">
        <v>846</v>
      </c>
      <c r="F89">
        <v>8.4599999999999995E-2</v>
      </c>
      <c r="G89">
        <v>204.5</v>
      </c>
      <c r="H89">
        <f t="shared" si="1"/>
        <v>2.3106933123433606</v>
      </c>
    </row>
    <row r="90" spans="1:8">
      <c r="A90">
        <v>1838</v>
      </c>
      <c r="B90">
        <v>4.5582058786331002E-2</v>
      </c>
      <c r="C90">
        <v>869.1</v>
      </c>
      <c r="D90">
        <v>8.6910000000000001E-2</v>
      </c>
      <c r="E90">
        <v>863</v>
      </c>
      <c r="F90">
        <v>8.6300000000000002E-2</v>
      </c>
      <c r="G90">
        <v>212</v>
      </c>
      <c r="H90">
        <f t="shared" si="1"/>
        <v>2.3263358609287512</v>
      </c>
    </row>
    <row r="91" spans="1:8">
      <c r="A91">
        <v>1839</v>
      </c>
      <c r="B91">
        <v>4.5069642703926299E-2</v>
      </c>
      <c r="C91">
        <v>863.6</v>
      </c>
      <c r="D91">
        <v>8.6360000000000006E-2</v>
      </c>
      <c r="E91">
        <v>845</v>
      </c>
      <c r="F91">
        <v>8.4500000000000006E-2</v>
      </c>
      <c r="G91">
        <v>214.4</v>
      </c>
      <c r="H91">
        <f t="shared" ref="H91:H122" si="2">LOG(G91)</f>
        <v>2.3312247810207323</v>
      </c>
    </row>
    <row r="92" spans="1:8">
      <c r="A92">
        <v>1840</v>
      </c>
      <c r="B92">
        <v>4.4319714280369897E-2</v>
      </c>
      <c r="C92">
        <v>861.1</v>
      </c>
      <c r="D92">
        <v>8.6110000000000006E-2</v>
      </c>
      <c r="E92">
        <v>851</v>
      </c>
      <c r="F92">
        <v>8.5099999999999995E-2</v>
      </c>
      <c r="G92">
        <v>223.4</v>
      </c>
      <c r="H92">
        <f t="shared" si="2"/>
        <v>2.3490831687795901</v>
      </c>
    </row>
    <row r="93" spans="1:8">
      <c r="A93">
        <v>1841</v>
      </c>
      <c r="B93">
        <v>4.3711055346793898E-2</v>
      </c>
      <c r="C93">
        <v>863.6</v>
      </c>
      <c r="D93">
        <v>8.6360000000000006E-2</v>
      </c>
      <c r="E93">
        <v>881</v>
      </c>
      <c r="F93">
        <v>8.8099999999999998E-2</v>
      </c>
      <c r="G93">
        <v>227.1</v>
      </c>
      <c r="H93">
        <f t="shared" si="2"/>
        <v>2.3562171342197353</v>
      </c>
    </row>
    <row r="94" spans="1:8">
      <c r="A94">
        <v>1842</v>
      </c>
      <c r="B94">
        <v>4.2068951767744903E-2</v>
      </c>
      <c r="C94">
        <v>874.7</v>
      </c>
      <c r="D94">
        <v>8.7470000000000006E-2</v>
      </c>
      <c r="E94">
        <v>881</v>
      </c>
      <c r="F94">
        <v>8.8099999999999998E-2</v>
      </c>
      <c r="G94">
        <v>233</v>
      </c>
      <c r="H94">
        <f t="shared" si="2"/>
        <v>2.3673559210260189</v>
      </c>
    </row>
    <row r="95" spans="1:8">
      <c r="A95">
        <v>1843</v>
      </c>
      <c r="B95">
        <v>4.1224333977403001E-2</v>
      </c>
      <c r="C95">
        <v>863.7</v>
      </c>
      <c r="D95">
        <v>8.6370000000000002E-2</v>
      </c>
      <c r="E95">
        <v>835</v>
      </c>
      <c r="F95">
        <v>8.3500000000000005E-2</v>
      </c>
      <c r="G95">
        <v>236.5</v>
      </c>
      <c r="H95">
        <f t="shared" si="2"/>
        <v>2.3738311450738303</v>
      </c>
    </row>
    <row r="96" spans="1:8">
      <c r="A96">
        <v>1844</v>
      </c>
      <c r="B96">
        <v>4.1099802259364798E-2</v>
      </c>
      <c r="C96">
        <v>860.4</v>
      </c>
      <c r="D96">
        <v>8.6040000000000005E-2</v>
      </c>
      <c r="E96">
        <v>825</v>
      </c>
      <c r="F96">
        <v>8.2500000000000004E-2</v>
      </c>
      <c r="G96">
        <v>253.6</v>
      </c>
      <c r="H96">
        <f t="shared" si="2"/>
        <v>2.404149249209695</v>
      </c>
    </row>
    <row r="97" spans="1:8">
      <c r="A97">
        <v>1845</v>
      </c>
      <c r="B97">
        <v>4.1680125316657303E-2</v>
      </c>
      <c r="C97">
        <v>856.8</v>
      </c>
      <c r="D97">
        <v>8.5680000000000006E-2</v>
      </c>
      <c r="E97">
        <v>871</v>
      </c>
      <c r="F97">
        <v>8.7099999999999997E-2</v>
      </c>
      <c r="G97">
        <v>267</v>
      </c>
      <c r="H97">
        <f t="shared" si="2"/>
        <v>2.4265112613645754</v>
      </c>
    </row>
    <row r="98" spans="1:8">
      <c r="A98">
        <v>1846</v>
      </c>
      <c r="B98">
        <v>4.1620029048015303E-2</v>
      </c>
      <c r="C98">
        <v>851</v>
      </c>
      <c r="D98">
        <v>8.5099999999999995E-2</v>
      </c>
      <c r="E98">
        <v>938</v>
      </c>
      <c r="F98">
        <v>9.3799999999999994E-2</v>
      </c>
      <c r="G98">
        <v>271.60000000000002</v>
      </c>
      <c r="H98">
        <f t="shared" si="2"/>
        <v>2.4339297656084642</v>
      </c>
    </row>
    <row r="99" spans="1:8">
      <c r="A99">
        <v>1847</v>
      </c>
      <c r="B99">
        <v>4.2815614202118601E-2</v>
      </c>
      <c r="C99">
        <v>850.9</v>
      </c>
      <c r="D99">
        <v>8.5089999999999999E-2</v>
      </c>
      <c r="E99">
        <v>957</v>
      </c>
      <c r="F99">
        <v>9.5699999999999993E-2</v>
      </c>
      <c r="G99">
        <v>250.9</v>
      </c>
      <c r="H99">
        <f t="shared" si="2"/>
        <v>2.3995006613146104</v>
      </c>
    </row>
    <row r="100" spans="1:8">
      <c r="A100">
        <v>1848</v>
      </c>
      <c r="B100">
        <v>6.7914411912674E-2</v>
      </c>
      <c r="C100">
        <v>864.7</v>
      </c>
      <c r="D100">
        <v>8.6470000000000005E-2</v>
      </c>
      <c r="E100">
        <v>753</v>
      </c>
      <c r="F100">
        <v>7.5300000000000006E-2</v>
      </c>
      <c r="G100">
        <v>342.3</v>
      </c>
      <c r="H100">
        <f t="shared" si="2"/>
        <v>2.5344068991378772</v>
      </c>
    </row>
    <row r="101" spans="1:8">
      <c r="A101">
        <v>1849</v>
      </c>
      <c r="B101">
        <v>5.8493039819089002E-2</v>
      </c>
      <c r="C101">
        <v>885.3</v>
      </c>
      <c r="D101">
        <v>8.8529999999999998E-2</v>
      </c>
      <c r="E101">
        <v>812</v>
      </c>
      <c r="F101">
        <v>8.1199999999999994E-2</v>
      </c>
      <c r="G101">
        <v>421.7</v>
      </c>
      <c r="H101">
        <f t="shared" si="2"/>
        <v>2.6250036010148636</v>
      </c>
    </row>
    <row r="102" spans="1:8">
      <c r="A102">
        <v>1850</v>
      </c>
      <c r="B102">
        <v>5.35991448685494E-2</v>
      </c>
      <c r="C102">
        <v>904.7</v>
      </c>
      <c r="D102">
        <v>9.0469999999999995E-2</v>
      </c>
      <c r="E102">
        <v>815</v>
      </c>
      <c r="F102">
        <v>8.1500000000000003E-2</v>
      </c>
      <c r="G102">
        <v>485.6</v>
      </c>
      <c r="H102">
        <f t="shared" si="2"/>
        <v>2.6862786780672012</v>
      </c>
    </row>
    <row r="103" spans="1:8">
      <c r="A103">
        <v>1851</v>
      </c>
      <c r="B103">
        <v>5.3540157846020599E-2</v>
      </c>
      <c r="C103">
        <v>922.3</v>
      </c>
      <c r="D103">
        <v>9.2230000000000006E-2</v>
      </c>
      <c r="E103">
        <v>823</v>
      </c>
      <c r="F103">
        <v>8.2299999999999998E-2</v>
      </c>
      <c r="G103">
        <v>530.29999999999995</v>
      </c>
      <c r="H103">
        <f t="shared" si="2"/>
        <v>2.7245216271185626</v>
      </c>
    </row>
    <row r="104" spans="1:8">
      <c r="A104">
        <v>1852</v>
      </c>
      <c r="C104">
        <v>929.5</v>
      </c>
      <c r="D104">
        <v>9.2950000000000005E-2</v>
      </c>
      <c r="E104">
        <v>880</v>
      </c>
      <c r="F104">
        <v>8.7999999999999995E-2</v>
      </c>
      <c r="G104">
        <v>621.20000000000005</v>
      </c>
      <c r="H104">
        <f t="shared" si="2"/>
        <v>2.7932314470565212</v>
      </c>
    </row>
    <row r="105" spans="1:8">
      <c r="A105">
        <v>1853</v>
      </c>
      <c r="C105">
        <v>945.6</v>
      </c>
      <c r="D105">
        <v>9.4560000000000005E-2</v>
      </c>
      <c r="E105">
        <v>973</v>
      </c>
      <c r="F105">
        <v>9.7299999999999998E-2</v>
      </c>
      <c r="G105">
        <v>659.8</v>
      </c>
      <c r="H105">
        <f t="shared" si="2"/>
        <v>2.8194123112093252</v>
      </c>
    </row>
    <row r="106" spans="1:8">
      <c r="A106">
        <v>1854</v>
      </c>
      <c r="C106">
        <v>961.7</v>
      </c>
      <c r="D106">
        <v>9.6170000000000005E-2</v>
      </c>
      <c r="E106">
        <v>1031</v>
      </c>
      <c r="F106">
        <v>0.1031</v>
      </c>
      <c r="G106">
        <v>614.20000000000005</v>
      </c>
      <c r="H106">
        <f t="shared" si="2"/>
        <v>2.78830981210705</v>
      </c>
    </row>
    <row r="107" spans="1:8">
      <c r="A107">
        <v>1855</v>
      </c>
      <c r="C107">
        <v>984.2</v>
      </c>
      <c r="D107">
        <v>9.8419999999999994E-2</v>
      </c>
      <c r="E107">
        <v>1065</v>
      </c>
      <c r="F107">
        <v>0.1065</v>
      </c>
      <c r="G107">
        <v>638.4</v>
      </c>
      <c r="H107">
        <f t="shared" si="2"/>
        <v>2.805092878342673</v>
      </c>
    </row>
    <row r="108" spans="1:8">
      <c r="A108">
        <v>1856</v>
      </c>
      <c r="C108">
        <v>1002.1111111111099</v>
      </c>
      <c r="D108">
        <v>0.100211111111111</v>
      </c>
      <c r="E108">
        <v>1114</v>
      </c>
      <c r="F108">
        <v>0.1114</v>
      </c>
      <c r="G108">
        <v>619.9</v>
      </c>
      <c r="H108">
        <f t="shared" si="2"/>
        <v>2.7923216363515735</v>
      </c>
    </row>
    <row r="109" spans="1:8">
      <c r="A109">
        <v>1857</v>
      </c>
      <c r="C109">
        <v>1017.375</v>
      </c>
      <c r="D109">
        <v>0.10173749999999999</v>
      </c>
      <c r="E109">
        <v>1029</v>
      </c>
      <c r="F109">
        <v>0.10290000000000001</v>
      </c>
      <c r="G109">
        <v>593.70000000000005</v>
      </c>
      <c r="H109">
        <f t="shared" si="2"/>
        <v>2.7735670489260587</v>
      </c>
    </row>
    <row r="110" spans="1:8">
      <c r="A110">
        <v>1858</v>
      </c>
      <c r="C110">
        <v>1023.71428571429</v>
      </c>
      <c r="D110">
        <v>0.102371428571429</v>
      </c>
      <c r="E110">
        <v>914</v>
      </c>
      <c r="F110">
        <v>9.1399999999999995E-2</v>
      </c>
      <c r="G110">
        <v>624.6</v>
      </c>
      <c r="H110">
        <f t="shared" si="2"/>
        <v>2.79560197989418</v>
      </c>
    </row>
    <row r="111" spans="1:8">
      <c r="A111">
        <v>1859</v>
      </c>
      <c r="C111">
        <v>1022.5</v>
      </c>
      <c r="D111">
        <v>0.10224999999999999</v>
      </c>
      <c r="E111">
        <v>973</v>
      </c>
      <c r="F111">
        <v>9.7299999999999998E-2</v>
      </c>
      <c r="G111">
        <v>716.4</v>
      </c>
      <c r="H111">
        <f t="shared" si="2"/>
        <v>2.8551555771769941</v>
      </c>
    </row>
    <row r="112" spans="1:8">
      <c r="A112">
        <v>1860</v>
      </c>
      <c r="C112">
        <v>1014</v>
      </c>
      <c r="D112">
        <v>0.1014</v>
      </c>
      <c r="E112">
        <v>1040</v>
      </c>
      <c r="F112">
        <v>0.104</v>
      </c>
      <c r="G112">
        <v>749.6</v>
      </c>
      <c r="H112">
        <f t="shared" si="2"/>
        <v>2.8748295778797219</v>
      </c>
    </row>
    <row r="113" spans="1:8">
      <c r="A113">
        <f t="shared" ref="A113:A144" si="3">A112+1</f>
        <v>1861</v>
      </c>
      <c r="G113">
        <v>745.3</v>
      </c>
      <c r="H113">
        <f t="shared" si="2"/>
        <v>2.8723311212302507</v>
      </c>
    </row>
    <row r="114" spans="1:8">
      <c r="A114">
        <f t="shared" si="3"/>
        <v>1862</v>
      </c>
      <c r="G114">
        <v>804.6</v>
      </c>
      <c r="H114">
        <f t="shared" si="2"/>
        <v>2.9055800282352426</v>
      </c>
    </row>
    <row r="115" spans="1:8">
      <c r="A115">
        <f t="shared" si="3"/>
        <v>1863</v>
      </c>
      <c r="G115">
        <v>796.3</v>
      </c>
      <c r="H115">
        <f t="shared" si="2"/>
        <v>2.9010767157262549</v>
      </c>
    </row>
    <row r="116" spans="1:8">
      <c r="A116">
        <f t="shared" si="3"/>
        <v>1864</v>
      </c>
      <c r="G116">
        <v>761.9</v>
      </c>
      <c r="H116">
        <f t="shared" si="2"/>
        <v>2.8818979735730115</v>
      </c>
    </row>
    <row r="117" spans="1:8">
      <c r="A117">
        <f t="shared" si="3"/>
        <v>1865</v>
      </c>
      <c r="G117">
        <v>839.3</v>
      </c>
      <c r="H117">
        <f t="shared" si="2"/>
        <v>2.9239172231131056</v>
      </c>
    </row>
    <row r="118" spans="1:8">
      <c r="A118">
        <f t="shared" si="3"/>
        <v>1866</v>
      </c>
      <c r="G118">
        <v>937.1</v>
      </c>
      <c r="H118">
        <f t="shared" si="2"/>
        <v>2.9717859378791145</v>
      </c>
    </row>
    <row r="119" spans="1:8">
      <c r="A119">
        <f t="shared" si="3"/>
        <v>1867</v>
      </c>
      <c r="G119">
        <v>1081.5</v>
      </c>
      <c r="H119">
        <f t="shared" si="2"/>
        <v>3.0340265237751103</v>
      </c>
    </row>
    <row r="120" spans="1:8">
      <c r="A120">
        <f t="shared" si="3"/>
        <v>1868</v>
      </c>
      <c r="G120">
        <v>1233.2</v>
      </c>
      <c r="H120">
        <f t="shared" si="2"/>
        <v>3.0910335160544706</v>
      </c>
    </row>
    <row r="121" spans="1:8">
      <c r="A121">
        <f t="shared" si="3"/>
        <v>1869</v>
      </c>
      <c r="G121">
        <v>1354.5</v>
      </c>
      <c r="H121">
        <f t="shared" si="2"/>
        <v>3.1317790093691871</v>
      </c>
    </row>
    <row r="122" spans="1:8">
      <c r="A122">
        <f t="shared" si="3"/>
        <v>1870</v>
      </c>
      <c r="G122">
        <v>1544.3</v>
      </c>
      <c r="H122">
        <f t="shared" si="2"/>
        <v>3.1887316714457432</v>
      </c>
    </row>
    <row r="123" spans="1:8">
      <c r="A123">
        <f t="shared" si="3"/>
        <v>1871</v>
      </c>
      <c r="G123">
        <v>2075</v>
      </c>
      <c r="H123">
        <f t="shared" ref="H123:H154" si="4">LOG(G123)</f>
        <v>3.3170181010481117</v>
      </c>
    </row>
    <row r="124" spans="1:8">
      <c r="A124">
        <f t="shared" si="3"/>
        <v>1872</v>
      </c>
      <c r="G124">
        <v>2401</v>
      </c>
      <c r="H124">
        <f t="shared" si="4"/>
        <v>3.3803921600570273</v>
      </c>
    </row>
    <row r="125" spans="1:8">
      <c r="A125">
        <f t="shared" si="3"/>
        <v>1873</v>
      </c>
      <c r="G125">
        <v>2857</v>
      </c>
      <c r="H125">
        <f t="shared" si="4"/>
        <v>3.4559102403827429</v>
      </c>
    </row>
    <row r="126" spans="1:8">
      <c r="A126">
        <f t="shared" si="3"/>
        <v>1874</v>
      </c>
      <c r="G126">
        <v>2597</v>
      </c>
      <c r="H126">
        <f t="shared" si="4"/>
        <v>3.4144719496293026</v>
      </c>
    </row>
    <row r="127" spans="1:8">
      <c r="A127">
        <f t="shared" si="3"/>
        <v>1875</v>
      </c>
      <c r="G127">
        <v>2461</v>
      </c>
      <c r="H127">
        <f t="shared" si="4"/>
        <v>3.3911116137028023</v>
      </c>
    </row>
    <row r="128" spans="1:8">
      <c r="A128">
        <f t="shared" si="3"/>
        <v>1876</v>
      </c>
      <c r="G128">
        <v>2484</v>
      </c>
      <c r="H128">
        <f t="shared" si="4"/>
        <v>3.3951515915045425</v>
      </c>
    </row>
    <row r="129" spans="1:8">
      <c r="A129">
        <f t="shared" si="3"/>
        <v>1877</v>
      </c>
      <c r="G129">
        <v>2490</v>
      </c>
      <c r="H129">
        <f t="shared" si="4"/>
        <v>3.3961993470957363</v>
      </c>
    </row>
    <row r="130" spans="1:8">
      <c r="A130">
        <f t="shared" si="3"/>
        <v>1878</v>
      </c>
      <c r="G130">
        <v>2339</v>
      </c>
      <c r="H130">
        <f t="shared" si="4"/>
        <v>3.3690302218091532</v>
      </c>
    </row>
    <row r="131" spans="1:8">
      <c r="A131">
        <f t="shared" si="3"/>
        <v>1879</v>
      </c>
      <c r="G131">
        <v>2199</v>
      </c>
      <c r="H131">
        <f t="shared" si="4"/>
        <v>3.3422252293607904</v>
      </c>
    </row>
    <row r="132" spans="1:8">
      <c r="A132">
        <f t="shared" si="3"/>
        <v>1880</v>
      </c>
      <c r="G132">
        <v>1305</v>
      </c>
      <c r="H132">
        <f t="shared" si="4"/>
        <v>3.1156105116742996</v>
      </c>
    </row>
    <row r="133" spans="1:8">
      <c r="A133">
        <f t="shared" si="3"/>
        <v>1881</v>
      </c>
      <c r="G133">
        <v>2576</v>
      </c>
      <c r="H133">
        <f t="shared" si="4"/>
        <v>3.4109458586877746</v>
      </c>
    </row>
    <row r="134" spans="1:8">
      <c r="A134">
        <f t="shared" si="3"/>
        <v>1882</v>
      </c>
      <c r="G134">
        <v>2732</v>
      </c>
      <c r="H134">
        <f t="shared" si="4"/>
        <v>3.4364806950094948</v>
      </c>
    </row>
    <row r="135" spans="1:8">
      <c r="A135">
        <f t="shared" si="3"/>
        <v>1883</v>
      </c>
      <c r="G135">
        <v>2926</v>
      </c>
      <c r="H135">
        <f t="shared" si="4"/>
        <v>3.466274321789292</v>
      </c>
    </row>
    <row r="136" spans="1:8">
      <c r="A136">
        <f t="shared" si="3"/>
        <v>1884</v>
      </c>
      <c r="G136">
        <v>2928</v>
      </c>
      <c r="H136">
        <f t="shared" si="4"/>
        <v>3.4665710723863543</v>
      </c>
    </row>
    <row r="137" spans="1:8">
      <c r="A137">
        <f t="shared" si="3"/>
        <v>1885</v>
      </c>
      <c r="G137">
        <v>2846</v>
      </c>
      <c r="H137">
        <f t="shared" si="4"/>
        <v>3.4542348957482654</v>
      </c>
    </row>
    <row r="138" spans="1:8">
      <c r="A138">
        <f t="shared" si="3"/>
        <v>1886</v>
      </c>
      <c r="G138">
        <v>2789</v>
      </c>
      <c r="H138">
        <f t="shared" si="4"/>
        <v>3.44544851426605</v>
      </c>
    </row>
    <row r="139" spans="1:8">
      <c r="A139">
        <f t="shared" si="3"/>
        <v>1887</v>
      </c>
      <c r="G139">
        <v>2719</v>
      </c>
      <c r="H139">
        <f t="shared" si="4"/>
        <v>3.4344092075875001</v>
      </c>
    </row>
    <row r="140" spans="1:8">
      <c r="A140">
        <f t="shared" si="3"/>
        <v>1888</v>
      </c>
      <c r="G140">
        <v>1676</v>
      </c>
      <c r="H140">
        <f t="shared" si="4"/>
        <v>3.2242740142942576</v>
      </c>
    </row>
    <row r="141" spans="1:8">
      <c r="A141">
        <f t="shared" si="3"/>
        <v>1889</v>
      </c>
      <c r="G141">
        <v>1876</v>
      </c>
      <c r="H141">
        <f t="shared" si="4"/>
        <v>3.2732328340430454</v>
      </c>
    </row>
    <row r="142" spans="1:8">
      <c r="A142">
        <f t="shared" si="3"/>
        <v>1890</v>
      </c>
      <c r="G142">
        <v>3060</v>
      </c>
      <c r="H142">
        <f t="shared" si="4"/>
        <v>3.4857214264815801</v>
      </c>
    </row>
    <row r="143" spans="1:8">
      <c r="A143">
        <f t="shared" si="3"/>
        <v>1891</v>
      </c>
      <c r="G143">
        <v>3085</v>
      </c>
      <c r="H143">
        <f t="shared" si="4"/>
        <v>3.4892551683692603</v>
      </c>
    </row>
    <row r="144" spans="1:8">
      <c r="A144">
        <f t="shared" si="3"/>
        <v>1892</v>
      </c>
      <c r="G144">
        <v>3151</v>
      </c>
      <c r="H144">
        <f t="shared" si="4"/>
        <v>3.4984484031739997</v>
      </c>
    </row>
    <row r="145" spans="1:8">
      <c r="A145">
        <f t="shared" ref="A145:A176" si="5">A144+1</f>
        <v>1893</v>
      </c>
      <c r="G145">
        <v>3445</v>
      </c>
      <c r="H145">
        <f t="shared" si="4"/>
        <v>3.5371892262436444</v>
      </c>
    </row>
    <row r="146" spans="1:8">
      <c r="A146">
        <f t="shared" si="5"/>
        <v>1894</v>
      </c>
      <c r="G146">
        <v>3476</v>
      </c>
      <c r="H146">
        <f t="shared" si="4"/>
        <v>3.5410797677766288</v>
      </c>
    </row>
    <row r="147" spans="1:8">
      <c r="A147">
        <f t="shared" si="5"/>
        <v>1895</v>
      </c>
      <c r="G147">
        <v>3527</v>
      </c>
      <c r="H147">
        <f t="shared" si="4"/>
        <v>3.5474054596674898</v>
      </c>
    </row>
    <row r="148" spans="1:8">
      <c r="A148">
        <f t="shared" si="5"/>
        <v>1896</v>
      </c>
      <c r="G148">
        <v>3607</v>
      </c>
      <c r="H148">
        <f t="shared" si="4"/>
        <v>3.5571461423183632</v>
      </c>
    </row>
    <row r="149" spans="1:8">
      <c r="A149">
        <f t="shared" si="5"/>
        <v>1897</v>
      </c>
      <c r="G149">
        <v>3687</v>
      </c>
      <c r="H149">
        <f t="shared" si="4"/>
        <v>3.5666731376061165</v>
      </c>
    </row>
    <row r="150" spans="1:8">
      <c r="A150">
        <f t="shared" si="5"/>
        <v>1898</v>
      </c>
      <c r="G150">
        <v>3694</v>
      </c>
      <c r="H150">
        <f t="shared" si="4"/>
        <v>3.5674968911042226</v>
      </c>
    </row>
    <row r="151" spans="1:8">
      <c r="A151">
        <f t="shared" si="5"/>
        <v>1899</v>
      </c>
      <c r="G151">
        <v>3820</v>
      </c>
      <c r="H151">
        <f t="shared" si="4"/>
        <v>3.5820633629117089</v>
      </c>
    </row>
    <row r="152" spans="1:8">
      <c r="A152">
        <f t="shared" si="5"/>
        <v>1900</v>
      </c>
      <c r="G152">
        <v>4034</v>
      </c>
      <c r="H152">
        <f t="shared" si="4"/>
        <v>3.6057358938767465</v>
      </c>
    </row>
    <row r="153" spans="1:8">
      <c r="A153">
        <f t="shared" si="5"/>
        <v>1901</v>
      </c>
      <c r="G153">
        <v>4116</v>
      </c>
      <c r="H153">
        <f t="shared" si="4"/>
        <v>3.6144753660903954</v>
      </c>
    </row>
    <row r="154" spans="1:8">
      <c r="A154">
        <f t="shared" si="5"/>
        <v>1902</v>
      </c>
      <c r="G154">
        <v>4162</v>
      </c>
      <c r="H154">
        <f t="shared" si="4"/>
        <v>3.6193020758756083</v>
      </c>
    </row>
    <row r="155" spans="1:8">
      <c r="A155">
        <f t="shared" si="5"/>
        <v>1903</v>
      </c>
      <c r="G155">
        <v>4310</v>
      </c>
      <c r="H155">
        <f t="shared" ref="H155:H186" si="6">LOG(G155)</f>
        <v>3.6344772701607315</v>
      </c>
    </row>
    <row r="156" spans="1:8">
      <c r="A156">
        <f t="shared" si="5"/>
        <v>1904</v>
      </c>
      <c r="G156">
        <v>4283</v>
      </c>
      <c r="H156">
        <f t="shared" si="6"/>
        <v>3.6317480743965693</v>
      </c>
    </row>
    <row r="157" spans="1:8">
      <c r="A157">
        <f t="shared" si="5"/>
        <v>1905</v>
      </c>
      <c r="G157">
        <v>4408</v>
      </c>
      <c r="H157">
        <f t="shared" si="6"/>
        <v>3.6442415858437287</v>
      </c>
    </row>
    <row r="158" spans="1:8">
      <c r="A158">
        <f t="shared" si="5"/>
        <v>1906</v>
      </c>
      <c r="G158">
        <v>4659</v>
      </c>
      <c r="H158">
        <f t="shared" si="6"/>
        <v>3.6682927104482208</v>
      </c>
    </row>
    <row r="159" spans="1:8">
      <c r="A159">
        <f t="shared" si="5"/>
        <v>1907</v>
      </c>
      <c r="G159">
        <v>4800</v>
      </c>
      <c r="H159">
        <f t="shared" si="6"/>
        <v>3.6812412373755872</v>
      </c>
    </row>
    <row r="160" spans="1:8">
      <c r="A160">
        <f t="shared" si="5"/>
        <v>1908</v>
      </c>
      <c r="G160">
        <v>4853</v>
      </c>
      <c r="H160">
        <f t="shared" si="6"/>
        <v>3.6860102913152857</v>
      </c>
    </row>
    <row r="161" spans="1:8">
      <c r="A161">
        <f t="shared" si="5"/>
        <v>1909</v>
      </c>
      <c r="G161">
        <v>5080</v>
      </c>
      <c r="H161">
        <f t="shared" si="6"/>
        <v>3.7058637122839193</v>
      </c>
    </row>
    <row r="162" spans="1:8">
      <c r="A162">
        <f t="shared" si="5"/>
        <v>1910</v>
      </c>
      <c r="G162">
        <v>5198</v>
      </c>
      <c r="H162">
        <f t="shared" si="6"/>
        <v>3.7158362751649938</v>
      </c>
    </row>
    <row r="163" spans="1:8">
      <c r="A163">
        <f t="shared" si="5"/>
        <v>1911</v>
      </c>
      <c r="G163">
        <v>5243</v>
      </c>
      <c r="H163">
        <f t="shared" si="6"/>
        <v>3.7195798577137231</v>
      </c>
    </row>
    <row r="164" spans="1:8">
      <c r="A164">
        <f t="shared" si="5"/>
        <v>1912</v>
      </c>
      <c r="G164">
        <v>5323</v>
      </c>
      <c r="H164">
        <f t="shared" si="6"/>
        <v>3.7261564661727546</v>
      </c>
    </row>
    <row r="165" spans="1:8">
      <c r="A165">
        <f t="shared" si="5"/>
        <v>1913</v>
      </c>
      <c r="G165">
        <v>5665</v>
      </c>
      <c r="H165">
        <f t="shared" si="6"/>
        <v>3.7531999141994161</v>
      </c>
    </row>
    <row r="166" spans="1:8">
      <c r="A166">
        <f t="shared" si="5"/>
        <v>1914</v>
      </c>
      <c r="G166">
        <v>7325</v>
      </c>
      <c r="H166">
        <f t="shared" si="6"/>
        <v>3.8648076290261471</v>
      </c>
    </row>
    <row r="167" spans="1:8">
      <c r="A167">
        <f t="shared" si="5"/>
        <v>1915</v>
      </c>
      <c r="G167">
        <v>12280</v>
      </c>
      <c r="H167">
        <f t="shared" si="6"/>
        <v>4.0891983668051486</v>
      </c>
    </row>
    <row r="168" spans="1:8">
      <c r="A168">
        <f t="shared" si="5"/>
        <v>1916</v>
      </c>
      <c r="G168">
        <v>15552</v>
      </c>
      <c r="H168">
        <f t="shared" si="6"/>
        <v>4.1917862475821996</v>
      </c>
    </row>
    <row r="169" spans="1:8">
      <c r="A169">
        <f t="shared" si="5"/>
        <v>1917</v>
      </c>
      <c r="G169">
        <v>19845</v>
      </c>
      <c r="H169">
        <f t="shared" si="6"/>
        <v>4.2976511032431821</v>
      </c>
    </row>
    <row r="170" spans="1:8">
      <c r="A170">
        <f t="shared" si="5"/>
        <v>1918</v>
      </c>
      <c r="G170">
        <v>27536</v>
      </c>
      <c r="H170">
        <f t="shared" si="6"/>
        <v>4.4399008529834854</v>
      </c>
    </row>
    <row r="171" spans="1:8">
      <c r="A171">
        <f t="shared" si="5"/>
        <v>1919</v>
      </c>
      <c r="G171">
        <v>34744</v>
      </c>
      <c r="H171">
        <f t="shared" si="6"/>
        <v>4.540879816354173</v>
      </c>
    </row>
    <row r="172" spans="1:8">
      <c r="A172">
        <f t="shared" si="5"/>
        <v>1920</v>
      </c>
      <c r="G172">
        <v>38186</v>
      </c>
      <c r="H172">
        <f t="shared" si="6"/>
        <v>4.5819041682211967</v>
      </c>
    </row>
    <row r="173" spans="1:8">
      <c r="A173">
        <f t="shared" si="5"/>
        <v>1921</v>
      </c>
      <c r="G173">
        <v>37679</v>
      </c>
      <c r="H173">
        <f t="shared" si="6"/>
        <v>4.5760993681058464</v>
      </c>
    </row>
    <row r="174" spans="1:8">
      <c r="A174">
        <f t="shared" si="5"/>
        <v>1922</v>
      </c>
      <c r="G174">
        <v>36652</v>
      </c>
      <c r="H174">
        <f t="shared" si="6"/>
        <v>4.5640976778929749</v>
      </c>
    </row>
    <row r="175" spans="1:8">
      <c r="A175">
        <f t="shared" si="5"/>
        <v>1923</v>
      </c>
      <c r="G175">
        <v>37356</v>
      </c>
      <c r="H175">
        <f t="shared" si="6"/>
        <v>4.5723603667301402</v>
      </c>
    </row>
    <row r="176" spans="1:8">
      <c r="A176">
        <f t="shared" si="5"/>
        <v>1924</v>
      </c>
      <c r="G176">
        <v>39938</v>
      </c>
      <c r="H176">
        <f t="shared" si="6"/>
        <v>4.6013863126450527</v>
      </c>
    </row>
    <row r="177" spans="1:8">
      <c r="A177">
        <f t="shared" ref="A177:A200" si="7">A176+1</f>
        <v>1925</v>
      </c>
      <c r="G177">
        <v>44071</v>
      </c>
      <c r="H177">
        <f t="shared" si="6"/>
        <v>4.6441529050493937</v>
      </c>
    </row>
    <row r="178" spans="1:8">
      <c r="A178">
        <f t="shared" si="7"/>
        <v>1926</v>
      </c>
      <c r="G178">
        <v>53420</v>
      </c>
      <c r="H178">
        <f t="shared" si="6"/>
        <v>4.7277038836853542</v>
      </c>
    </row>
    <row r="179" spans="1:8">
      <c r="A179">
        <f t="shared" si="7"/>
        <v>1927</v>
      </c>
      <c r="G179">
        <v>53490</v>
      </c>
      <c r="H179">
        <f t="shared" si="6"/>
        <v>4.7282725978950166</v>
      </c>
    </row>
    <row r="180" spans="1:8">
      <c r="A180">
        <f t="shared" si="7"/>
        <v>1928</v>
      </c>
      <c r="G180">
        <v>60061</v>
      </c>
      <c r="H180">
        <f t="shared" si="6"/>
        <v>4.7785925588131191</v>
      </c>
    </row>
    <row r="181" spans="1:8">
      <c r="A181">
        <f t="shared" si="7"/>
        <v>1929</v>
      </c>
      <c r="G181">
        <v>64647</v>
      </c>
      <c r="H181">
        <f t="shared" si="6"/>
        <v>4.8105483758726235</v>
      </c>
    </row>
    <row r="182" spans="1:8">
      <c r="A182">
        <f t="shared" si="7"/>
        <v>1930</v>
      </c>
      <c r="G182">
        <v>72119</v>
      </c>
      <c r="H182">
        <f t="shared" si="6"/>
        <v>4.8580496961771971</v>
      </c>
    </row>
    <row r="183" spans="1:8">
      <c r="A183">
        <f t="shared" si="7"/>
        <v>1931</v>
      </c>
      <c r="G183">
        <v>79033</v>
      </c>
      <c r="H183">
        <f t="shared" si="6"/>
        <v>4.8978084675613607</v>
      </c>
    </row>
    <row r="184" spans="1:8">
      <c r="A184">
        <f t="shared" si="7"/>
        <v>1932</v>
      </c>
      <c r="G184">
        <v>82139</v>
      </c>
      <c r="H184">
        <f t="shared" si="6"/>
        <v>4.914549411238287</v>
      </c>
    </row>
    <row r="185" spans="1:8">
      <c r="A185">
        <f t="shared" si="7"/>
        <v>1933</v>
      </c>
      <c r="G185">
        <v>83065</v>
      </c>
      <c r="H185">
        <f t="shared" si="6"/>
        <v>4.919418069406337</v>
      </c>
    </row>
    <row r="186" spans="1:8">
      <c r="A186">
        <f t="shared" si="7"/>
        <v>1934</v>
      </c>
      <c r="G186">
        <v>81037</v>
      </c>
      <c r="H186">
        <f t="shared" si="6"/>
        <v>4.9086833550131095</v>
      </c>
    </row>
    <row r="187" spans="1:8">
      <c r="A187">
        <f t="shared" si="7"/>
        <v>1935</v>
      </c>
      <c r="G187">
        <v>82163</v>
      </c>
      <c r="H187">
        <f t="shared" ref="H187:H198" si="8">LOG(G187)</f>
        <v>4.9146762881800141</v>
      </c>
    </row>
    <row r="188" spans="1:8">
      <c r="A188">
        <f t="shared" si="7"/>
        <v>1936</v>
      </c>
      <c r="G188">
        <v>84069</v>
      </c>
      <c r="H188">
        <f t="shared" si="8"/>
        <v>4.9246358815189248</v>
      </c>
    </row>
    <row r="189" spans="1:8">
      <c r="A189">
        <f t="shared" si="7"/>
        <v>1937</v>
      </c>
      <c r="G189">
        <v>88308</v>
      </c>
      <c r="H189">
        <f t="shared" si="8"/>
        <v>4.9460000489736728</v>
      </c>
    </row>
    <row r="190" spans="1:8">
      <c r="A190">
        <f t="shared" si="7"/>
        <v>1938</v>
      </c>
      <c r="G190">
        <v>101556</v>
      </c>
      <c r="H190">
        <f t="shared" si="8"/>
        <v>5.0067055869226538</v>
      </c>
    </row>
    <row r="191" spans="1:8">
      <c r="A191">
        <f t="shared" si="7"/>
        <v>1939</v>
      </c>
      <c r="G191">
        <v>128514</v>
      </c>
      <c r="H191">
        <f t="shared" si="8"/>
        <v>5.1089504412202924</v>
      </c>
    </row>
    <row r="192" spans="1:8">
      <c r="A192">
        <f t="shared" si="7"/>
        <v>1940</v>
      </c>
      <c r="G192">
        <v>181807</v>
      </c>
      <c r="H192">
        <f t="shared" si="8"/>
        <v>5.2596106005737804</v>
      </c>
    </row>
    <row r="193" spans="1:8">
      <c r="A193">
        <f t="shared" si="7"/>
        <v>1941</v>
      </c>
      <c r="G193">
        <v>240326</v>
      </c>
      <c r="H193">
        <f t="shared" si="8"/>
        <v>5.380800758093562</v>
      </c>
    </row>
    <row r="194" spans="1:8">
      <c r="A194">
        <f t="shared" si="7"/>
        <v>1942</v>
      </c>
      <c r="G194">
        <v>313240</v>
      </c>
      <c r="H194">
        <f t="shared" si="8"/>
        <v>5.4958772152954252</v>
      </c>
    </row>
    <row r="195" spans="1:8">
      <c r="A195">
        <f t="shared" si="7"/>
        <v>1943</v>
      </c>
      <c r="G195">
        <v>434868</v>
      </c>
      <c r="H195">
        <f t="shared" si="8"/>
        <v>5.6383574510437375</v>
      </c>
    </row>
    <row r="196" spans="1:8">
      <c r="A196">
        <f t="shared" si="7"/>
        <v>1944</v>
      </c>
      <c r="G196">
        <v>568297</v>
      </c>
      <c r="H196">
        <f t="shared" si="8"/>
        <v>5.7545753634406749</v>
      </c>
    </row>
    <row r="197" spans="1:8">
      <c r="A197">
        <f t="shared" si="7"/>
        <v>1945</v>
      </c>
      <c r="G197">
        <v>541261</v>
      </c>
      <c r="H197">
        <f t="shared" si="8"/>
        <v>5.7334067355799103</v>
      </c>
    </row>
    <row r="198" spans="1:8">
      <c r="A198">
        <f t="shared" si="7"/>
        <v>1946</v>
      </c>
      <c r="G198">
        <v>636098</v>
      </c>
      <c r="H198">
        <f t="shared" si="8"/>
        <v>5.8035240300831674</v>
      </c>
    </row>
    <row r="199" spans="1:8">
      <c r="A199">
        <f t="shared" si="7"/>
        <v>1947</v>
      </c>
    </row>
    <row r="200" spans="1:8">
      <c r="A200">
        <f t="shared" si="7"/>
        <v>1948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12"/>
  <sheetViews>
    <sheetView workbookViewId="0">
      <selection activeCell="D4" sqref="D4"/>
    </sheetView>
  </sheetViews>
  <sheetFormatPr defaultRowHeight="12.75"/>
  <sheetData>
    <row r="1" spans="1:24">
      <c r="B1" t="s">
        <v>149</v>
      </c>
      <c r="C1" t="s">
        <v>165</v>
      </c>
      <c r="D1" t="s">
        <v>164</v>
      </c>
      <c r="E1" t="s">
        <v>163</v>
      </c>
      <c r="H1" t="s">
        <v>162</v>
      </c>
      <c r="M1" t="s">
        <v>41</v>
      </c>
      <c r="P1" t="s">
        <v>58</v>
      </c>
      <c r="Q1" t="s">
        <v>161</v>
      </c>
      <c r="T1" t="s">
        <v>37</v>
      </c>
      <c r="U1" t="s">
        <v>160</v>
      </c>
      <c r="V1" t="s">
        <v>159</v>
      </c>
      <c r="X1" t="s">
        <v>158</v>
      </c>
    </row>
    <row r="2" spans="1:24">
      <c r="B2" t="s">
        <v>157</v>
      </c>
      <c r="C2" t="s">
        <v>156</v>
      </c>
      <c r="D2" t="s">
        <v>155</v>
      </c>
      <c r="E2" t="s">
        <v>154</v>
      </c>
      <c r="H2" t="s">
        <v>153</v>
      </c>
      <c r="M2" t="s">
        <v>152</v>
      </c>
      <c r="N2" t="s">
        <v>151</v>
      </c>
      <c r="O2" t="s">
        <v>150</v>
      </c>
      <c r="P2" t="s">
        <v>149</v>
      </c>
      <c r="Q2" t="s">
        <v>148</v>
      </c>
      <c r="R2" t="s">
        <v>147</v>
      </c>
      <c r="S2" t="s">
        <v>58</v>
      </c>
      <c r="T2" t="s">
        <v>146</v>
      </c>
      <c r="U2" t="s">
        <v>145</v>
      </c>
      <c r="W2" t="s">
        <v>144</v>
      </c>
    </row>
    <row r="3" spans="1:24">
      <c r="F3">
        <f>AVERAGEA(E4:E6)</f>
        <v>72.687380487031888</v>
      </c>
      <c r="J3">
        <f>71+68.7+70.5+76.1+71.2+59+73</f>
        <v>489.49999999999994</v>
      </c>
    </row>
    <row r="4" spans="1:24">
      <c r="A4">
        <v>1685</v>
      </c>
      <c r="B4">
        <v>58.2</v>
      </c>
      <c r="C4">
        <v>3.1</v>
      </c>
      <c r="D4">
        <f t="shared" ref="D4:D37" si="0">(C4+B4)/G4</f>
        <v>116.10442131952873</v>
      </c>
      <c r="E4">
        <f t="shared" ref="E4:E37" si="1">(B4+C4)/H4</f>
        <v>74.760678252601608</v>
      </c>
      <c r="F4">
        <f t="shared" ref="F4:F35" si="2">E4-F$3</f>
        <v>2.0732977655697198</v>
      </c>
      <c r="G4">
        <v>0.52797300312360596</v>
      </c>
      <c r="H4">
        <v>0.81994975744975696</v>
      </c>
      <c r="J4">
        <f>J3/7</f>
        <v>69.928571428571416</v>
      </c>
    </row>
    <row r="5" spans="1:24">
      <c r="A5">
        <v>1686</v>
      </c>
      <c r="B5">
        <v>56.3</v>
      </c>
      <c r="C5">
        <v>1.8</v>
      </c>
      <c r="D5">
        <f t="shared" si="0"/>
        <v>110.04350536157615</v>
      </c>
      <c r="E5">
        <f t="shared" si="1"/>
        <v>70.858000105646852</v>
      </c>
      <c r="F5">
        <f t="shared" si="2"/>
        <v>-1.829380381385036</v>
      </c>
      <c r="G5">
        <v>0.52797300312360596</v>
      </c>
      <c r="H5">
        <v>0.81994975744975696</v>
      </c>
    </row>
    <row r="6" spans="1:24">
      <c r="A6">
        <v>1687</v>
      </c>
      <c r="B6">
        <v>57.8</v>
      </c>
      <c r="C6">
        <v>1.6</v>
      </c>
      <c r="D6">
        <f t="shared" si="0"/>
        <v>112.50575246949438</v>
      </c>
      <c r="E6">
        <f t="shared" si="1"/>
        <v>72.443463102847218</v>
      </c>
      <c r="F6">
        <f t="shared" si="2"/>
        <v>-0.24391738418466957</v>
      </c>
      <c r="G6">
        <v>0.52797300312360596</v>
      </c>
      <c r="H6">
        <v>0.81994975744975696</v>
      </c>
      <c r="J6">
        <f>SUM(E7:E16)</f>
        <v>1285.4229787013096</v>
      </c>
      <c r="K6">
        <f>J6*15.24/240</f>
        <v>81.624359147533156</v>
      </c>
    </row>
    <row r="7" spans="1:24">
      <c r="A7">
        <v>1688</v>
      </c>
      <c r="B7">
        <v>74.400000000000006</v>
      </c>
      <c r="C7">
        <v>3.3</v>
      </c>
      <c r="D7">
        <f t="shared" si="0"/>
        <v>147.1666156040356</v>
      </c>
      <c r="E7">
        <f t="shared" si="1"/>
        <v>94.761903755744612</v>
      </c>
      <c r="F7">
        <f t="shared" si="2"/>
        <v>22.074523268712724</v>
      </c>
      <c r="G7">
        <v>0.52797300312360596</v>
      </c>
      <c r="H7">
        <v>0.81994975744975696</v>
      </c>
      <c r="J7">
        <f>SUM(F7:F16)</f>
        <v>558.54917383099064</v>
      </c>
      <c r="K7">
        <f>J7*15.24/240</f>
        <v>35.467872538267905</v>
      </c>
    </row>
    <row r="8" spans="1:24">
      <c r="A8">
        <v>1689</v>
      </c>
      <c r="B8">
        <v>108.6</v>
      </c>
      <c r="C8">
        <v>1.5</v>
      </c>
      <c r="D8">
        <f t="shared" si="0"/>
        <v>206.48374951509624</v>
      </c>
      <c r="E8">
        <f t="shared" si="1"/>
        <v>132.95673830891747</v>
      </c>
      <c r="F8">
        <f t="shared" si="2"/>
        <v>60.269357821885578</v>
      </c>
      <c r="G8">
        <v>0.53321387401457698</v>
      </c>
      <c r="H8">
        <v>0.82808890621390596</v>
      </c>
      <c r="J8" t="s">
        <v>58</v>
      </c>
      <c r="K8" t="s">
        <v>143</v>
      </c>
      <c r="M8">
        <v>1.73</v>
      </c>
      <c r="N8">
        <v>1.03</v>
      </c>
      <c r="O8">
        <f>0.66/3</f>
        <v>0.22</v>
      </c>
      <c r="P8">
        <f t="shared" ref="P8:P39" si="3">SUM(M8:O8)</f>
        <v>2.98</v>
      </c>
      <c r="Q8">
        <f>P8*23</f>
        <v>68.540000000000006</v>
      </c>
      <c r="R8">
        <v>0.6</v>
      </c>
      <c r="S8">
        <f t="shared" ref="S8:S39" si="4">R8+P8</f>
        <v>3.58</v>
      </c>
      <c r="T8">
        <f>0.189/3</f>
        <v>6.3E-2</v>
      </c>
      <c r="U8">
        <v>2.871</v>
      </c>
      <c r="V8">
        <f t="shared" ref="V8:V39" si="5">T8+S8</f>
        <v>3.6430000000000002</v>
      </c>
      <c r="W8">
        <f t="shared" ref="W8:W39" si="6">U8-S8</f>
        <v>-0.70900000000000007</v>
      </c>
      <c r="X8">
        <f t="shared" ref="X8:X39" si="7">T8+R8</f>
        <v>0.66300000000000003</v>
      </c>
    </row>
    <row r="9" spans="1:24">
      <c r="A9">
        <v>1690</v>
      </c>
      <c r="B9">
        <v>117.9</v>
      </c>
      <c r="C9">
        <v>1.2</v>
      </c>
      <c r="D9">
        <f t="shared" si="0"/>
        <v>198.56091505091351</v>
      </c>
      <c r="E9">
        <f t="shared" si="1"/>
        <v>127.85515413586276</v>
      </c>
      <c r="F9">
        <f t="shared" si="2"/>
        <v>55.167773648830874</v>
      </c>
      <c r="G9">
        <v>0.59981593038822001</v>
      </c>
      <c r="H9">
        <v>0.93152286902286896</v>
      </c>
      <c r="M9">
        <v>1.73</v>
      </c>
      <c r="N9">
        <v>1.03</v>
      </c>
      <c r="O9">
        <f>0.66/3</f>
        <v>0.22</v>
      </c>
      <c r="P9">
        <f t="shared" si="3"/>
        <v>2.98</v>
      </c>
      <c r="Q9">
        <v>68.540000000000006</v>
      </c>
      <c r="R9">
        <v>0.6</v>
      </c>
      <c r="S9">
        <f t="shared" si="4"/>
        <v>3.58</v>
      </c>
      <c r="T9">
        <f>0.189/3</f>
        <v>6.3E-2</v>
      </c>
      <c r="U9">
        <v>2.871</v>
      </c>
      <c r="V9">
        <f t="shared" si="5"/>
        <v>3.6430000000000002</v>
      </c>
      <c r="W9">
        <f t="shared" si="6"/>
        <v>-0.70900000000000007</v>
      </c>
      <c r="X9">
        <f t="shared" si="7"/>
        <v>0.66300000000000003</v>
      </c>
    </row>
    <row r="10" spans="1:24">
      <c r="A10">
        <v>1691</v>
      </c>
      <c r="B10">
        <v>126.6</v>
      </c>
      <c r="C10">
        <v>4.4000000000000004</v>
      </c>
      <c r="D10">
        <f t="shared" si="0"/>
        <v>218.40033477472434</v>
      </c>
      <c r="E10">
        <f t="shared" si="1"/>
        <v>140.62993443994981</v>
      </c>
      <c r="F10">
        <f t="shared" si="2"/>
        <v>67.942553952917919</v>
      </c>
      <c r="G10">
        <v>0.59981593038822001</v>
      </c>
      <c r="H10">
        <v>0.93152286902286896</v>
      </c>
      <c r="M10">
        <v>1.73</v>
      </c>
      <c r="N10">
        <v>1.03</v>
      </c>
      <c r="O10">
        <f>0.66/3</f>
        <v>0.22</v>
      </c>
      <c r="P10">
        <f t="shared" si="3"/>
        <v>2.98</v>
      </c>
      <c r="Q10">
        <v>68.540000000000006</v>
      </c>
      <c r="R10">
        <v>0.6</v>
      </c>
      <c r="S10">
        <f t="shared" si="4"/>
        <v>3.58</v>
      </c>
      <c r="T10">
        <f>0.189/3</f>
        <v>6.3E-2</v>
      </c>
      <c r="U10">
        <v>2.871</v>
      </c>
      <c r="V10">
        <f t="shared" si="5"/>
        <v>3.6430000000000002</v>
      </c>
      <c r="W10">
        <f t="shared" si="6"/>
        <v>-0.70900000000000007</v>
      </c>
      <c r="X10">
        <f t="shared" si="7"/>
        <v>0.66300000000000003</v>
      </c>
    </row>
    <row r="11" spans="1:24">
      <c r="A11">
        <v>1692</v>
      </c>
      <c r="B11">
        <v>141.69999999999999</v>
      </c>
      <c r="C11">
        <v>2.4</v>
      </c>
      <c r="D11">
        <f t="shared" si="0"/>
        <v>243.26606558534826</v>
      </c>
      <c r="E11">
        <f t="shared" si="1"/>
        <v>156.64120153487599</v>
      </c>
      <c r="F11">
        <f t="shared" si="2"/>
        <v>83.953821047844102</v>
      </c>
      <c r="G11">
        <v>0.59235553324408696</v>
      </c>
      <c r="H11">
        <v>0.91993676368676403</v>
      </c>
      <c r="M11">
        <v>1.9</v>
      </c>
      <c r="N11">
        <v>1.24</v>
      </c>
      <c r="O11">
        <v>0.25</v>
      </c>
      <c r="P11">
        <f t="shared" si="3"/>
        <v>3.3899999999999997</v>
      </c>
      <c r="Q11">
        <v>77.97</v>
      </c>
      <c r="R11">
        <v>0.66</v>
      </c>
      <c r="S11">
        <f t="shared" si="4"/>
        <v>4.05</v>
      </c>
      <c r="T11">
        <v>0.19900000000000001</v>
      </c>
      <c r="U11">
        <v>4.1109999999999998</v>
      </c>
      <c r="V11">
        <f t="shared" si="5"/>
        <v>4.2489999999999997</v>
      </c>
      <c r="W11">
        <f t="shared" si="6"/>
        <v>6.0999999999999943E-2</v>
      </c>
      <c r="X11">
        <f t="shared" si="7"/>
        <v>0.85899999999999999</v>
      </c>
    </row>
    <row r="12" spans="1:24">
      <c r="A12">
        <v>1693</v>
      </c>
      <c r="B12">
        <v>138.19999999999999</v>
      </c>
      <c r="C12">
        <v>2.4</v>
      </c>
      <c r="D12">
        <f t="shared" si="0"/>
        <v>238.97484564426478</v>
      </c>
      <c r="E12">
        <f t="shared" si="1"/>
        <v>153.87804652595895</v>
      </c>
      <c r="F12">
        <f t="shared" si="2"/>
        <v>81.190666038927063</v>
      </c>
      <c r="G12">
        <v>0.58834644132083902</v>
      </c>
      <c r="H12">
        <v>0.91371058558558604</v>
      </c>
      <c r="M12">
        <v>2.35</v>
      </c>
      <c r="N12">
        <v>1.92</v>
      </c>
      <c r="O12">
        <v>0.38</v>
      </c>
      <c r="P12">
        <f t="shared" si="3"/>
        <v>4.6499999999999995</v>
      </c>
      <c r="Q12">
        <v>106.95</v>
      </c>
      <c r="R12">
        <v>0.7</v>
      </c>
      <c r="S12">
        <f t="shared" si="4"/>
        <v>5.35</v>
      </c>
      <c r="T12">
        <v>0.222</v>
      </c>
      <c r="U12">
        <v>3.7829999999999999</v>
      </c>
      <c r="V12">
        <f t="shared" si="5"/>
        <v>5.5720000000000001</v>
      </c>
      <c r="W12">
        <f t="shared" si="6"/>
        <v>-1.5669999999999997</v>
      </c>
      <c r="X12">
        <f t="shared" si="7"/>
        <v>0.92199999999999993</v>
      </c>
    </row>
    <row r="13" spans="1:24">
      <c r="A13">
        <v>1694</v>
      </c>
      <c r="B13">
        <v>125.5</v>
      </c>
      <c r="C13">
        <v>1.8</v>
      </c>
      <c r="D13">
        <f t="shared" si="0"/>
        <v>197.69875259875258</v>
      </c>
      <c r="E13">
        <f t="shared" si="1"/>
        <v>127.3</v>
      </c>
      <c r="F13">
        <f t="shared" si="2"/>
        <v>54.612619512968109</v>
      </c>
      <c r="G13">
        <v>0.64390896921017404</v>
      </c>
      <c r="H13">
        <v>1</v>
      </c>
      <c r="M13">
        <v>2.12</v>
      </c>
      <c r="N13">
        <v>2.13</v>
      </c>
      <c r="O13">
        <v>0.24</v>
      </c>
      <c r="P13">
        <f t="shared" si="3"/>
        <v>4.49</v>
      </c>
      <c r="Q13">
        <v>103.27</v>
      </c>
      <c r="R13">
        <v>0.67</v>
      </c>
      <c r="S13">
        <f t="shared" si="4"/>
        <v>5.16</v>
      </c>
      <c r="T13">
        <v>0.442</v>
      </c>
      <c r="U13">
        <v>4.0039999999999996</v>
      </c>
      <c r="V13">
        <f t="shared" si="5"/>
        <v>5.6020000000000003</v>
      </c>
      <c r="W13">
        <f t="shared" si="6"/>
        <v>-1.1560000000000006</v>
      </c>
      <c r="X13">
        <f t="shared" si="7"/>
        <v>1.1120000000000001</v>
      </c>
    </row>
    <row r="14" spans="1:24">
      <c r="A14">
        <v>1695</v>
      </c>
      <c r="B14">
        <v>119.8</v>
      </c>
      <c r="C14">
        <v>1.7</v>
      </c>
      <c r="D14">
        <f t="shared" si="0"/>
        <v>188.69126819126819</v>
      </c>
      <c r="E14">
        <f t="shared" si="1"/>
        <v>121.5</v>
      </c>
      <c r="F14">
        <f t="shared" si="2"/>
        <v>48.812619512968112</v>
      </c>
      <c r="G14">
        <v>0.64390896921017404</v>
      </c>
      <c r="H14">
        <v>1</v>
      </c>
      <c r="M14">
        <v>2.56</v>
      </c>
      <c r="N14">
        <v>1.89</v>
      </c>
      <c r="O14">
        <v>0.42</v>
      </c>
      <c r="P14">
        <f t="shared" si="3"/>
        <v>4.87</v>
      </c>
      <c r="Q14">
        <v>112.01</v>
      </c>
      <c r="R14">
        <v>0.78</v>
      </c>
      <c r="S14">
        <f t="shared" si="4"/>
        <v>5.65</v>
      </c>
      <c r="T14">
        <v>0.58099999999999996</v>
      </c>
      <c r="U14">
        <v>4.1340000000000003</v>
      </c>
      <c r="V14">
        <f t="shared" si="5"/>
        <v>6.2309999999999999</v>
      </c>
      <c r="W14">
        <f t="shared" si="6"/>
        <v>-1.516</v>
      </c>
      <c r="X14">
        <f t="shared" si="7"/>
        <v>1.361</v>
      </c>
    </row>
    <row r="15" spans="1:24">
      <c r="A15">
        <v>1696</v>
      </c>
      <c r="B15">
        <v>115</v>
      </c>
      <c r="C15">
        <v>1.7</v>
      </c>
      <c r="D15">
        <f t="shared" si="0"/>
        <v>181.23679833679833</v>
      </c>
      <c r="E15">
        <f t="shared" si="1"/>
        <v>116.7</v>
      </c>
      <c r="F15">
        <f t="shared" si="2"/>
        <v>44.012619512968115</v>
      </c>
      <c r="G15">
        <v>0.64390896921017404</v>
      </c>
      <c r="H15">
        <v>1</v>
      </c>
      <c r="M15">
        <v>1.75</v>
      </c>
      <c r="N15">
        <v>1.92</v>
      </c>
      <c r="O15">
        <v>0.25</v>
      </c>
      <c r="P15">
        <f t="shared" si="3"/>
        <v>3.92</v>
      </c>
      <c r="Q15">
        <v>90.16</v>
      </c>
      <c r="R15">
        <v>0.71</v>
      </c>
      <c r="S15">
        <f t="shared" si="4"/>
        <v>4.63</v>
      </c>
      <c r="T15">
        <v>0.65100000000000002</v>
      </c>
      <c r="U15">
        <v>4.8230000000000004</v>
      </c>
      <c r="V15">
        <f t="shared" si="5"/>
        <v>5.2809999999999997</v>
      </c>
      <c r="W15">
        <f t="shared" si="6"/>
        <v>0.1930000000000005</v>
      </c>
      <c r="X15">
        <f t="shared" si="7"/>
        <v>1.361</v>
      </c>
    </row>
    <row r="16" spans="1:24">
      <c r="A16">
        <v>1697</v>
      </c>
      <c r="B16">
        <v>109.4</v>
      </c>
      <c r="C16">
        <v>3.8</v>
      </c>
      <c r="D16">
        <f t="shared" si="0"/>
        <v>175.80124740124739</v>
      </c>
      <c r="E16">
        <f t="shared" si="1"/>
        <v>113.2</v>
      </c>
      <c r="F16">
        <f t="shared" si="2"/>
        <v>40.512619512968115</v>
      </c>
      <c r="G16">
        <v>0.64390896921017404</v>
      </c>
      <c r="H16">
        <v>1</v>
      </c>
      <c r="M16">
        <v>2.65</v>
      </c>
      <c r="N16">
        <v>2.82</v>
      </c>
      <c r="O16">
        <v>0.52</v>
      </c>
      <c r="P16">
        <f t="shared" si="3"/>
        <v>5.99</v>
      </c>
      <c r="Q16">
        <v>137.77000000000001</v>
      </c>
      <c r="R16">
        <v>0.87</v>
      </c>
      <c r="S16">
        <f t="shared" si="4"/>
        <v>6.86</v>
      </c>
      <c r="T16">
        <v>1.044</v>
      </c>
      <c r="U16">
        <v>3.298</v>
      </c>
      <c r="V16">
        <f t="shared" si="5"/>
        <v>7.9039999999999999</v>
      </c>
      <c r="W16">
        <f t="shared" si="6"/>
        <v>-3.5620000000000003</v>
      </c>
      <c r="X16">
        <f t="shared" si="7"/>
        <v>1.9140000000000001</v>
      </c>
    </row>
    <row r="17" spans="1:24">
      <c r="A17">
        <v>1698</v>
      </c>
      <c r="B17">
        <v>76.099999999999994</v>
      </c>
      <c r="C17">
        <v>1.8</v>
      </c>
      <c r="D17">
        <f t="shared" si="0"/>
        <v>120.97983367983366</v>
      </c>
      <c r="E17">
        <f t="shared" si="1"/>
        <v>77.899999999999991</v>
      </c>
      <c r="F17">
        <f t="shared" si="2"/>
        <v>5.2126195129681037</v>
      </c>
      <c r="G17">
        <v>0.64390896921017404</v>
      </c>
      <c r="H17">
        <v>1</v>
      </c>
      <c r="M17">
        <v>1.34</v>
      </c>
      <c r="N17">
        <v>0.88</v>
      </c>
      <c r="O17">
        <v>0.05</v>
      </c>
      <c r="P17">
        <f t="shared" si="3"/>
        <v>2.27</v>
      </c>
      <c r="Q17">
        <v>52.21</v>
      </c>
      <c r="R17">
        <v>0.39</v>
      </c>
      <c r="S17">
        <f t="shared" si="4"/>
        <v>2.66</v>
      </c>
      <c r="T17">
        <v>1.4670000000000001</v>
      </c>
      <c r="U17">
        <v>4.5780000000000003</v>
      </c>
      <c r="V17">
        <f t="shared" si="5"/>
        <v>4.1270000000000007</v>
      </c>
      <c r="W17">
        <f t="shared" si="6"/>
        <v>1.9180000000000001</v>
      </c>
      <c r="X17">
        <f t="shared" si="7"/>
        <v>1.8570000000000002</v>
      </c>
    </row>
    <row r="18" spans="1:24">
      <c r="A18">
        <v>1699</v>
      </c>
      <c r="B18">
        <v>71.2</v>
      </c>
      <c r="C18">
        <v>1.9</v>
      </c>
      <c r="D18">
        <f t="shared" si="0"/>
        <v>113.52536382536384</v>
      </c>
      <c r="E18">
        <f t="shared" si="1"/>
        <v>73.100000000000009</v>
      </c>
      <c r="F18">
        <f t="shared" si="2"/>
        <v>0.41261951296812072</v>
      </c>
      <c r="G18">
        <v>0.64390896921017404</v>
      </c>
      <c r="H18">
        <v>1</v>
      </c>
      <c r="M18">
        <v>1.02</v>
      </c>
      <c r="N18">
        <v>1.23</v>
      </c>
      <c r="O18">
        <v>0.04</v>
      </c>
      <c r="P18">
        <f t="shared" si="3"/>
        <v>2.29</v>
      </c>
      <c r="Q18">
        <v>52.67</v>
      </c>
      <c r="R18">
        <v>0.9</v>
      </c>
      <c r="S18">
        <f t="shared" si="4"/>
        <v>3.19</v>
      </c>
      <c r="T18">
        <v>1.484</v>
      </c>
      <c r="U18">
        <v>5.1639999999999997</v>
      </c>
      <c r="V18">
        <f t="shared" si="5"/>
        <v>4.6739999999999995</v>
      </c>
      <c r="W18">
        <f t="shared" si="6"/>
        <v>1.9739999999999998</v>
      </c>
      <c r="X18">
        <f t="shared" si="7"/>
        <v>2.3839999999999999</v>
      </c>
    </row>
    <row r="19" spans="1:24">
      <c r="A19">
        <v>1700</v>
      </c>
      <c r="B19">
        <v>56.4</v>
      </c>
      <c r="C19">
        <v>1.9</v>
      </c>
      <c r="D19">
        <f t="shared" si="0"/>
        <v>94.722392523364476</v>
      </c>
      <c r="E19">
        <f t="shared" si="1"/>
        <v>60.992598130841131</v>
      </c>
      <c r="F19">
        <f t="shared" si="2"/>
        <v>-11.694782356190757</v>
      </c>
      <c r="G19">
        <v>0.615482764390897</v>
      </c>
      <c r="H19">
        <v>0.95585369022869004</v>
      </c>
      <c r="J19">
        <f>SUM(E20:E32)</f>
        <v>1681.8058021282873</v>
      </c>
      <c r="K19">
        <f>J19*15.24/240</f>
        <v>106.79466843514624</v>
      </c>
      <c r="M19">
        <v>0.36</v>
      </c>
      <c r="N19">
        <v>0.82</v>
      </c>
      <c r="O19">
        <v>7.0000000000000007E-2</v>
      </c>
      <c r="P19">
        <f t="shared" si="3"/>
        <v>1.25</v>
      </c>
      <c r="Q19">
        <v>28.75</v>
      </c>
      <c r="R19">
        <v>0.7</v>
      </c>
      <c r="S19">
        <f t="shared" si="4"/>
        <v>1.95</v>
      </c>
      <c r="T19">
        <v>1.2509999999999999</v>
      </c>
      <c r="U19">
        <v>4.3440000000000003</v>
      </c>
      <c r="V19">
        <f t="shared" si="5"/>
        <v>3.2009999999999996</v>
      </c>
      <c r="W19">
        <f t="shared" si="6"/>
        <v>2.3940000000000001</v>
      </c>
      <c r="X19">
        <f t="shared" si="7"/>
        <v>1.9509999999999998</v>
      </c>
    </row>
    <row r="20" spans="1:24">
      <c r="A20">
        <v>1701</v>
      </c>
      <c r="B20">
        <v>97.4</v>
      </c>
      <c r="C20">
        <v>10.8</v>
      </c>
      <c r="D20">
        <f t="shared" si="0"/>
        <v>175.90257305434022</v>
      </c>
      <c r="E20">
        <f t="shared" si="1"/>
        <v>113.26524449683754</v>
      </c>
      <c r="F20">
        <f t="shared" si="2"/>
        <v>40.577864009805651</v>
      </c>
      <c r="G20">
        <v>0.61511323070057999</v>
      </c>
      <c r="H20">
        <v>0.95527979902979898</v>
      </c>
      <c r="J20">
        <f>SUM(F20:F32)</f>
        <v>736.86985579687257</v>
      </c>
      <c r="K20">
        <f>J20*15.24/240</f>
        <v>46.791235843101411</v>
      </c>
      <c r="M20">
        <v>0.44</v>
      </c>
      <c r="N20">
        <v>1.05</v>
      </c>
      <c r="O20">
        <v>0.05</v>
      </c>
      <c r="P20">
        <f t="shared" si="3"/>
        <v>1.54</v>
      </c>
      <c r="Q20">
        <v>35.42</v>
      </c>
      <c r="R20">
        <v>0.7</v>
      </c>
      <c r="S20">
        <f t="shared" si="4"/>
        <v>2.2400000000000002</v>
      </c>
      <c r="T20">
        <v>1.2</v>
      </c>
      <c r="U20">
        <v>3.7690000000000001</v>
      </c>
      <c r="V20">
        <f t="shared" si="5"/>
        <v>3.4400000000000004</v>
      </c>
      <c r="W20">
        <f t="shared" si="6"/>
        <v>1.5289999999999999</v>
      </c>
      <c r="X20">
        <f t="shared" si="7"/>
        <v>1.9</v>
      </c>
    </row>
    <row r="21" spans="1:24">
      <c r="A21">
        <v>1702</v>
      </c>
      <c r="B21">
        <v>109</v>
      </c>
      <c r="C21">
        <v>9.9</v>
      </c>
      <c r="D21">
        <f t="shared" si="0"/>
        <v>176.29966090480534</v>
      </c>
      <c r="E21">
        <f t="shared" si="1"/>
        <v>113.5209329253166</v>
      </c>
      <c r="F21">
        <f t="shared" si="2"/>
        <v>40.833552438284713</v>
      </c>
      <c r="G21">
        <v>0.67441990182954004</v>
      </c>
      <c r="H21">
        <v>1.0473839223839201</v>
      </c>
      <c r="M21">
        <v>1.1000000000000001</v>
      </c>
      <c r="N21">
        <v>2.1</v>
      </c>
      <c r="O21">
        <v>0.12</v>
      </c>
      <c r="P21">
        <f t="shared" si="3"/>
        <v>3.3200000000000003</v>
      </c>
      <c r="Q21">
        <v>76.36</v>
      </c>
      <c r="R21">
        <v>0.52</v>
      </c>
      <c r="S21">
        <f t="shared" si="4"/>
        <v>3.8400000000000003</v>
      </c>
      <c r="T21">
        <v>1.1739999999999999</v>
      </c>
      <c r="U21">
        <v>4.8689999999999998</v>
      </c>
      <c r="V21">
        <f t="shared" si="5"/>
        <v>5.0140000000000002</v>
      </c>
      <c r="W21">
        <f t="shared" si="6"/>
        <v>1.0289999999999995</v>
      </c>
      <c r="X21">
        <f t="shared" si="7"/>
        <v>1.694</v>
      </c>
    </row>
    <row r="22" spans="1:24">
      <c r="A22">
        <v>1703</v>
      </c>
      <c r="B22">
        <v>129.4</v>
      </c>
      <c r="C22">
        <v>6.3</v>
      </c>
      <c r="D22">
        <f t="shared" si="0"/>
        <v>212.16383020472247</v>
      </c>
      <c r="E22">
        <f t="shared" si="1"/>
        <v>136.61419321080518</v>
      </c>
      <c r="F22">
        <f t="shared" si="2"/>
        <v>63.926812723773295</v>
      </c>
      <c r="G22">
        <v>0.63960006693440397</v>
      </c>
      <c r="H22">
        <v>0.99330821205821196</v>
      </c>
      <c r="M22">
        <v>1.77</v>
      </c>
      <c r="N22">
        <v>1.72</v>
      </c>
      <c r="O22">
        <v>0.17</v>
      </c>
      <c r="P22">
        <f t="shared" si="3"/>
        <v>3.66</v>
      </c>
      <c r="Q22">
        <v>84.18</v>
      </c>
      <c r="R22">
        <v>0.6</v>
      </c>
      <c r="S22">
        <f t="shared" si="4"/>
        <v>4.26</v>
      </c>
      <c r="T22">
        <v>1.042</v>
      </c>
      <c r="U22">
        <v>5.5609999999999999</v>
      </c>
      <c r="V22">
        <f t="shared" si="5"/>
        <v>5.3019999999999996</v>
      </c>
      <c r="W22">
        <f t="shared" si="6"/>
        <v>1.3010000000000002</v>
      </c>
      <c r="X22">
        <f t="shared" si="7"/>
        <v>1.6419999999999999</v>
      </c>
    </row>
    <row r="23" spans="1:24">
      <c r="A23">
        <v>1704</v>
      </c>
      <c r="B23">
        <v>119</v>
      </c>
      <c r="C23">
        <v>5</v>
      </c>
      <c r="D23">
        <f t="shared" si="0"/>
        <v>182.86353541169683</v>
      </c>
      <c r="E23">
        <f t="shared" si="1"/>
        <v>117.74747059307373</v>
      </c>
      <c r="F23">
        <f t="shared" si="2"/>
        <v>45.060090106041841</v>
      </c>
      <c r="G23">
        <v>0.67810129406514996</v>
      </c>
      <c r="H23">
        <v>1.0531011781011801</v>
      </c>
      <c r="M23">
        <v>2.11</v>
      </c>
      <c r="N23">
        <v>1.63</v>
      </c>
      <c r="O23">
        <v>0.16</v>
      </c>
      <c r="P23">
        <f t="shared" si="3"/>
        <v>3.9</v>
      </c>
      <c r="Q23">
        <v>89.7</v>
      </c>
      <c r="R23">
        <v>0.66</v>
      </c>
      <c r="S23">
        <f t="shared" si="4"/>
        <v>4.5599999999999996</v>
      </c>
      <c r="T23">
        <v>0.97699999999999998</v>
      </c>
      <c r="U23">
        <v>5.3940000000000001</v>
      </c>
      <c r="V23">
        <f t="shared" si="5"/>
        <v>5.5369999999999999</v>
      </c>
      <c r="W23">
        <f t="shared" si="6"/>
        <v>0.83400000000000052</v>
      </c>
      <c r="X23">
        <f t="shared" si="7"/>
        <v>1.637</v>
      </c>
    </row>
    <row r="24" spans="1:24">
      <c r="A24">
        <v>1705</v>
      </c>
      <c r="B24">
        <v>169.6</v>
      </c>
      <c r="C24">
        <v>6.3</v>
      </c>
      <c r="D24">
        <f t="shared" si="0"/>
        <v>250.56892455603688</v>
      </c>
      <c r="E24">
        <f t="shared" si="1"/>
        <v>161.34357792697912</v>
      </c>
      <c r="F24">
        <f t="shared" si="2"/>
        <v>88.656197439947235</v>
      </c>
      <c r="G24">
        <v>0.70200245426148999</v>
      </c>
      <c r="H24">
        <v>1.09022002772003</v>
      </c>
      <c r="M24">
        <v>2.15</v>
      </c>
      <c r="N24">
        <v>1.77</v>
      </c>
      <c r="O24">
        <v>0.18</v>
      </c>
      <c r="P24">
        <f t="shared" si="3"/>
        <v>4.0999999999999996</v>
      </c>
      <c r="Q24">
        <v>94.3</v>
      </c>
      <c r="R24">
        <v>0.74</v>
      </c>
      <c r="S24">
        <f t="shared" si="4"/>
        <v>4.84</v>
      </c>
      <c r="T24">
        <v>1.036</v>
      </c>
      <c r="U24">
        <v>5.2919999999999998</v>
      </c>
      <c r="V24">
        <f t="shared" si="5"/>
        <v>5.8759999999999994</v>
      </c>
      <c r="W24">
        <f t="shared" si="6"/>
        <v>0.45199999999999996</v>
      </c>
      <c r="X24">
        <f t="shared" si="7"/>
        <v>1.776</v>
      </c>
    </row>
    <row r="25" spans="1:24">
      <c r="A25">
        <v>1706</v>
      </c>
      <c r="B25">
        <v>146.80000000000001</v>
      </c>
      <c r="C25">
        <v>7.8</v>
      </c>
      <c r="D25">
        <f t="shared" si="0"/>
        <v>237.64630026579775</v>
      </c>
      <c r="E25">
        <f t="shared" si="1"/>
        <v>153.02258424076069</v>
      </c>
      <c r="F25">
        <f t="shared" si="2"/>
        <v>80.335203753728806</v>
      </c>
      <c r="G25">
        <v>0.650546630968318</v>
      </c>
      <c r="H25">
        <v>1.0103083853083901</v>
      </c>
      <c r="M25">
        <v>2.74</v>
      </c>
      <c r="N25">
        <v>1.95</v>
      </c>
      <c r="O25">
        <v>0.27</v>
      </c>
      <c r="P25">
        <f t="shared" si="3"/>
        <v>4.9600000000000009</v>
      </c>
      <c r="Q25">
        <v>114.08</v>
      </c>
      <c r="R25">
        <v>0.65</v>
      </c>
      <c r="S25">
        <f t="shared" si="4"/>
        <v>5.6100000000000012</v>
      </c>
      <c r="T25">
        <v>1.0780000000000001</v>
      </c>
      <c r="U25">
        <v>5.2839999999999998</v>
      </c>
      <c r="V25">
        <f t="shared" si="5"/>
        <v>6.6880000000000015</v>
      </c>
      <c r="W25">
        <f t="shared" si="6"/>
        <v>-0.3260000000000014</v>
      </c>
      <c r="X25">
        <f t="shared" si="7"/>
        <v>1.7280000000000002</v>
      </c>
    </row>
    <row r="26" spans="1:24">
      <c r="A26">
        <v>1707</v>
      </c>
      <c r="B26">
        <v>166.6</v>
      </c>
      <c r="C26">
        <v>6.9</v>
      </c>
      <c r="D26">
        <f t="shared" si="0"/>
        <v>236.24186152487837</v>
      </c>
      <c r="E26">
        <f t="shared" si="1"/>
        <v>152.1182535387772</v>
      </c>
      <c r="F26">
        <f t="shared" si="2"/>
        <v>79.430873051745309</v>
      </c>
      <c r="G26">
        <v>0.73441683400267699</v>
      </c>
      <c r="H26">
        <v>1.1405600311850299</v>
      </c>
      <c r="M26">
        <v>3.19</v>
      </c>
      <c r="N26">
        <v>2.2999999999999998</v>
      </c>
      <c r="O26">
        <v>0.28999999999999998</v>
      </c>
      <c r="P26">
        <f t="shared" si="3"/>
        <v>5.78</v>
      </c>
      <c r="Q26">
        <v>132.94</v>
      </c>
      <c r="R26">
        <v>1.1299999999999999</v>
      </c>
      <c r="S26">
        <f t="shared" si="4"/>
        <v>6.91</v>
      </c>
      <c r="T26">
        <v>1.8460000000000001</v>
      </c>
      <c r="U26">
        <v>5.4710000000000001</v>
      </c>
      <c r="V26">
        <f t="shared" si="5"/>
        <v>8.7560000000000002</v>
      </c>
      <c r="W26">
        <f t="shared" si="6"/>
        <v>-1.4390000000000001</v>
      </c>
      <c r="X26">
        <f t="shared" si="7"/>
        <v>2.976</v>
      </c>
    </row>
    <row r="27" spans="1:24">
      <c r="A27">
        <v>1708</v>
      </c>
      <c r="B27">
        <v>136.4</v>
      </c>
      <c r="C27">
        <v>7.5</v>
      </c>
      <c r="D27">
        <f t="shared" si="0"/>
        <v>194.51235145596476</v>
      </c>
      <c r="E27">
        <f t="shared" si="1"/>
        <v>125.24824772465732</v>
      </c>
      <c r="F27">
        <f t="shared" si="2"/>
        <v>52.56086723762543</v>
      </c>
      <c r="G27">
        <v>0.73979877844712205</v>
      </c>
      <c r="H27">
        <v>1.14891826923077</v>
      </c>
      <c r="M27">
        <v>3.18</v>
      </c>
      <c r="N27">
        <v>1.91</v>
      </c>
      <c r="O27">
        <v>0.23</v>
      </c>
      <c r="P27">
        <f t="shared" si="3"/>
        <v>5.32</v>
      </c>
      <c r="Q27">
        <v>122.36</v>
      </c>
      <c r="R27">
        <v>0.78</v>
      </c>
      <c r="S27">
        <f t="shared" si="4"/>
        <v>6.1000000000000005</v>
      </c>
      <c r="T27">
        <v>1.637</v>
      </c>
      <c r="U27">
        <v>5.2080000000000002</v>
      </c>
      <c r="V27">
        <f t="shared" si="5"/>
        <v>7.7370000000000001</v>
      </c>
      <c r="W27">
        <f t="shared" si="6"/>
        <v>-0.89200000000000035</v>
      </c>
      <c r="X27">
        <f t="shared" si="7"/>
        <v>2.4169999999999998</v>
      </c>
    </row>
    <row r="28" spans="1:24">
      <c r="A28">
        <v>1709</v>
      </c>
      <c r="B28">
        <v>147.4</v>
      </c>
      <c r="C28">
        <v>7.5</v>
      </c>
      <c r="D28">
        <f t="shared" si="0"/>
        <v>210.87760650011396</v>
      </c>
      <c r="E28">
        <f t="shared" si="1"/>
        <v>135.78598223099655</v>
      </c>
      <c r="F28">
        <f t="shared" si="2"/>
        <v>63.098601743964664</v>
      </c>
      <c r="G28">
        <v>0.73454930834448895</v>
      </c>
      <c r="H28">
        <v>1.1407657657657699</v>
      </c>
      <c r="M28">
        <v>3.97</v>
      </c>
      <c r="N28">
        <v>2.12</v>
      </c>
      <c r="O28">
        <v>0.28000000000000003</v>
      </c>
      <c r="P28">
        <f t="shared" si="3"/>
        <v>6.37</v>
      </c>
      <c r="Q28">
        <v>146.51</v>
      </c>
      <c r="R28">
        <v>0.78</v>
      </c>
      <c r="S28">
        <f t="shared" si="4"/>
        <v>7.15</v>
      </c>
      <c r="T28">
        <v>2.0139999999999998</v>
      </c>
      <c r="U28">
        <v>5.2060000000000004</v>
      </c>
      <c r="V28">
        <f t="shared" si="5"/>
        <v>9.1639999999999997</v>
      </c>
      <c r="W28">
        <f t="shared" si="6"/>
        <v>-1.944</v>
      </c>
      <c r="X28">
        <f t="shared" si="7"/>
        <v>2.7939999999999996</v>
      </c>
    </row>
    <row r="29" spans="1:24">
      <c r="A29">
        <v>1710</v>
      </c>
      <c r="B29">
        <v>149.30000000000001</v>
      </c>
      <c r="C29">
        <v>7.5</v>
      </c>
      <c r="D29">
        <f t="shared" si="0"/>
        <v>195.21600000000012</v>
      </c>
      <c r="E29">
        <f t="shared" si="1"/>
        <v>125.7013333333331</v>
      </c>
      <c r="F29">
        <f t="shared" si="2"/>
        <v>53.013952846301208</v>
      </c>
      <c r="G29">
        <v>0.80321285140562204</v>
      </c>
      <c r="H29">
        <v>1.2474012474012499</v>
      </c>
      <c r="M29">
        <v>4.46</v>
      </c>
      <c r="N29">
        <v>2.42</v>
      </c>
      <c r="O29">
        <v>0.28000000000000003</v>
      </c>
      <c r="P29">
        <f t="shared" si="3"/>
        <v>7.16</v>
      </c>
      <c r="Q29">
        <v>164.68</v>
      </c>
      <c r="R29">
        <v>0.86</v>
      </c>
      <c r="S29">
        <f t="shared" si="4"/>
        <v>8.02</v>
      </c>
      <c r="T29">
        <v>1.754</v>
      </c>
      <c r="U29">
        <v>5.2480000000000002</v>
      </c>
      <c r="V29">
        <f t="shared" si="5"/>
        <v>9.7739999999999991</v>
      </c>
      <c r="W29">
        <f t="shared" si="6"/>
        <v>-2.7719999999999994</v>
      </c>
      <c r="X29">
        <f t="shared" si="7"/>
        <v>2.6139999999999999</v>
      </c>
    </row>
    <row r="30" spans="1:24">
      <c r="A30">
        <v>1711</v>
      </c>
      <c r="B30">
        <v>140.1</v>
      </c>
      <c r="C30">
        <v>7.5</v>
      </c>
      <c r="D30">
        <f t="shared" si="0"/>
        <v>183.76200000000009</v>
      </c>
      <c r="E30">
        <f t="shared" si="1"/>
        <v>118.32599999999975</v>
      </c>
      <c r="F30">
        <f t="shared" si="2"/>
        <v>45.638619512967864</v>
      </c>
      <c r="G30">
        <v>0.80321285140562204</v>
      </c>
      <c r="H30">
        <v>1.2474012474012499</v>
      </c>
      <c r="M30">
        <v>4.8499999999999996</v>
      </c>
      <c r="N30">
        <v>7.48</v>
      </c>
      <c r="O30">
        <v>0.33</v>
      </c>
      <c r="P30">
        <f t="shared" si="3"/>
        <v>12.66</v>
      </c>
      <c r="Q30">
        <v>291.18</v>
      </c>
      <c r="R30">
        <v>0.67</v>
      </c>
      <c r="S30">
        <f t="shared" si="4"/>
        <v>13.33</v>
      </c>
      <c r="T30">
        <v>1.8129999999999999</v>
      </c>
      <c r="U30">
        <v>5.1790000000000003</v>
      </c>
      <c r="V30">
        <f t="shared" si="5"/>
        <v>15.143000000000001</v>
      </c>
      <c r="W30">
        <f t="shared" si="6"/>
        <v>-8.1509999999999998</v>
      </c>
      <c r="X30">
        <f t="shared" si="7"/>
        <v>2.4830000000000001</v>
      </c>
    </row>
    <row r="31" spans="1:24">
      <c r="A31">
        <v>1712</v>
      </c>
      <c r="B31">
        <v>136.9</v>
      </c>
      <c r="C31">
        <v>7.5</v>
      </c>
      <c r="D31">
        <f t="shared" si="0"/>
        <v>179.77800000000011</v>
      </c>
      <c r="E31">
        <f t="shared" si="1"/>
        <v>115.76066666666644</v>
      </c>
      <c r="F31">
        <f t="shared" si="2"/>
        <v>43.07328617963455</v>
      </c>
      <c r="G31">
        <v>0.80321285140562204</v>
      </c>
      <c r="H31">
        <v>1.2474012474012499</v>
      </c>
      <c r="M31">
        <v>2.84</v>
      </c>
      <c r="N31">
        <v>1.78</v>
      </c>
      <c r="O31">
        <v>0.16</v>
      </c>
      <c r="P31">
        <f t="shared" si="3"/>
        <v>4.78</v>
      </c>
      <c r="Q31">
        <v>109.94</v>
      </c>
      <c r="R31">
        <v>0.73</v>
      </c>
      <c r="S31">
        <f t="shared" si="4"/>
        <v>5.51</v>
      </c>
      <c r="T31">
        <v>2.36</v>
      </c>
      <c r="U31">
        <v>5.7480000000000002</v>
      </c>
      <c r="V31">
        <f t="shared" si="5"/>
        <v>7.8699999999999992</v>
      </c>
      <c r="W31">
        <f t="shared" si="6"/>
        <v>0.23800000000000043</v>
      </c>
      <c r="X31">
        <f t="shared" si="7"/>
        <v>3.09</v>
      </c>
    </row>
    <row r="32" spans="1:24">
      <c r="A32">
        <v>1713</v>
      </c>
      <c r="B32">
        <v>133.6</v>
      </c>
      <c r="C32">
        <v>7.5</v>
      </c>
      <c r="D32">
        <f t="shared" si="0"/>
        <v>176.03624217119008</v>
      </c>
      <c r="E32">
        <f t="shared" si="1"/>
        <v>113.35131524008393</v>
      </c>
      <c r="F32">
        <f t="shared" si="2"/>
        <v>40.663934753052047</v>
      </c>
      <c r="G32">
        <v>0.80153949129852697</v>
      </c>
      <c r="H32">
        <v>1.2448024948024901</v>
      </c>
      <c r="M32">
        <v>1.27</v>
      </c>
      <c r="N32">
        <v>1.46</v>
      </c>
      <c r="O32">
        <v>0.1</v>
      </c>
      <c r="P32">
        <f t="shared" si="3"/>
        <v>2.83</v>
      </c>
      <c r="Q32">
        <v>65.09</v>
      </c>
      <c r="R32">
        <v>0.66</v>
      </c>
      <c r="S32">
        <f t="shared" si="4"/>
        <v>3.49</v>
      </c>
      <c r="T32">
        <v>2.8879999999999999</v>
      </c>
      <c r="U32">
        <v>5.78</v>
      </c>
      <c r="V32">
        <f t="shared" si="5"/>
        <v>6.3780000000000001</v>
      </c>
      <c r="W32">
        <f t="shared" si="6"/>
        <v>2.29</v>
      </c>
      <c r="X32">
        <f t="shared" si="7"/>
        <v>3.548</v>
      </c>
    </row>
    <row r="33" spans="1:24">
      <c r="A33">
        <v>1714</v>
      </c>
      <c r="B33">
        <v>111.2</v>
      </c>
      <c r="C33">
        <v>7.5</v>
      </c>
      <c r="D33">
        <f t="shared" si="0"/>
        <v>163.06924137931043</v>
      </c>
      <c r="E33">
        <f t="shared" si="1"/>
        <v>105.00174712643681</v>
      </c>
      <c r="F33">
        <f t="shared" si="2"/>
        <v>32.314366639404923</v>
      </c>
      <c r="G33">
        <v>0.727911646586345</v>
      </c>
      <c r="H33">
        <v>1.1304573804573801</v>
      </c>
      <c r="M33">
        <v>0.88</v>
      </c>
      <c r="N33">
        <v>1.04</v>
      </c>
      <c r="O33">
        <v>0.08</v>
      </c>
      <c r="P33">
        <f t="shared" si="3"/>
        <v>2</v>
      </c>
      <c r="Q33">
        <v>46</v>
      </c>
      <c r="R33">
        <v>1.1599999999999999</v>
      </c>
      <c r="S33">
        <f t="shared" si="4"/>
        <v>3.16</v>
      </c>
      <c r="T33">
        <v>3.0209999999999999</v>
      </c>
      <c r="U33">
        <v>5.3609999999999998</v>
      </c>
      <c r="V33">
        <f t="shared" si="5"/>
        <v>6.181</v>
      </c>
      <c r="W33">
        <f t="shared" si="6"/>
        <v>2.2009999999999996</v>
      </c>
      <c r="X33">
        <f t="shared" si="7"/>
        <v>4.181</v>
      </c>
    </row>
    <row r="34" spans="1:24">
      <c r="A34">
        <v>1715</v>
      </c>
      <c r="B34">
        <v>71.5</v>
      </c>
      <c r="C34">
        <v>7.9</v>
      </c>
      <c r="D34">
        <f t="shared" si="0"/>
        <v>125.87519108649882</v>
      </c>
      <c r="E34">
        <f t="shared" si="1"/>
        <v>81.052164541641147</v>
      </c>
      <c r="F34">
        <f t="shared" si="2"/>
        <v>8.3647840546092596</v>
      </c>
      <c r="G34">
        <v>0.63078355087014704</v>
      </c>
      <c r="H34">
        <v>0.97961603430353394</v>
      </c>
      <c r="M34">
        <v>0.92</v>
      </c>
      <c r="N34">
        <v>1.2</v>
      </c>
      <c r="O34">
        <v>0.09</v>
      </c>
      <c r="P34">
        <f t="shared" si="3"/>
        <v>2.21</v>
      </c>
      <c r="Q34">
        <v>50.83</v>
      </c>
      <c r="R34">
        <v>0.73</v>
      </c>
      <c r="S34">
        <f t="shared" si="4"/>
        <v>2.94</v>
      </c>
      <c r="T34">
        <v>3.2759999999999998</v>
      </c>
      <c r="U34">
        <v>5.5469999999999997</v>
      </c>
      <c r="V34">
        <f t="shared" si="5"/>
        <v>6.2159999999999993</v>
      </c>
      <c r="W34">
        <f t="shared" si="6"/>
        <v>2.6069999999999998</v>
      </c>
      <c r="X34">
        <f t="shared" si="7"/>
        <v>4.0060000000000002</v>
      </c>
    </row>
    <row r="35" spans="1:24">
      <c r="A35">
        <v>1716</v>
      </c>
      <c r="B35">
        <v>43.6</v>
      </c>
      <c r="C35">
        <v>3.7</v>
      </c>
      <c r="D35">
        <f t="shared" si="0"/>
        <v>58.920722269991415</v>
      </c>
      <c r="E35">
        <f t="shared" si="1"/>
        <v>37.939581541989263</v>
      </c>
      <c r="F35">
        <f t="shared" si="2"/>
        <v>-34.747798945042625</v>
      </c>
      <c r="G35">
        <v>0.80277359437750995</v>
      </c>
      <c r="H35">
        <v>1.24671907484407</v>
      </c>
      <c r="M35">
        <v>2.15</v>
      </c>
      <c r="N35">
        <v>0.79</v>
      </c>
      <c r="O35">
        <v>0.18</v>
      </c>
      <c r="P35">
        <f t="shared" si="3"/>
        <v>3.12</v>
      </c>
      <c r="Q35">
        <v>71.760000000000005</v>
      </c>
      <c r="R35">
        <v>0.93</v>
      </c>
      <c r="S35">
        <f t="shared" si="4"/>
        <v>4.05</v>
      </c>
      <c r="T35">
        <v>3.0270000000000001</v>
      </c>
      <c r="U35">
        <v>5.5819999999999999</v>
      </c>
      <c r="V35">
        <f t="shared" si="5"/>
        <v>7.077</v>
      </c>
      <c r="W35">
        <f t="shared" si="6"/>
        <v>1.532</v>
      </c>
      <c r="X35">
        <f t="shared" si="7"/>
        <v>3.9570000000000003</v>
      </c>
    </row>
    <row r="36" spans="1:24">
      <c r="A36">
        <v>1717</v>
      </c>
      <c r="B36">
        <v>47.9</v>
      </c>
      <c r="C36">
        <v>5.6</v>
      </c>
      <c r="D36">
        <f t="shared" si="0"/>
        <v>66.643945907918408</v>
      </c>
      <c r="E36">
        <f t="shared" si="1"/>
        <v>42.912634513666497</v>
      </c>
      <c r="G36">
        <v>0.80277359437750995</v>
      </c>
      <c r="H36">
        <v>1.24671907484407</v>
      </c>
      <c r="M36">
        <v>0.98</v>
      </c>
      <c r="N36">
        <v>0.44</v>
      </c>
      <c r="O36">
        <v>0.04</v>
      </c>
      <c r="P36">
        <f t="shared" si="3"/>
        <v>1.46</v>
      </c>
      <c r="Q36">
        <v>33.58</v>
      </c>
      <c r="R36">
        <v>0.98</v>
      </c>
      <c r="S36">
        <f t="shared" si="4"/>
        <v>2.44</v>
      </c>
      <c r="T36">
        <v>3.44</v>
      </c>
      <c r="U36">
        <v>6.5140000000000002</v>
      </c>
      <c r="V36">
        <f t="shared" si="5"/>
        <v>5.88</v>
      </c>
      <c r="W36">
        <f t="shared" si="6"/>
        <v>4.0739999999999998</v>
      </c>
      <c r="X36">
        <f t="shared" si="7"/>
        <v>4.42</v>
      </c>
    </row>
    <row r="37" spans="1:24">
      <c r="A37">
        <v>1718</v>
      </c>
      <c r="B37">
        <v>44.7</v>
      </c>
      <c r="C37">
        <v>4.0999999999999996</v>
      </c>
      <c r="D37">
        <f t="shared" si="0"/>
        <v>45.573230715136809</v>
      </c>
      <c r="E37">
        <f t="shared" si="1"/>
        <v>29.345012013361245</v>
      </c>
      <c r="G37">
        <v>1.0708040495314599</v>
      </c>
      <c r="H37">
        <v>1.66297427234927</v>
      </c>
      <c r="M37">
        <v>1.2</v>
      </c>
      <c r="N37">
        <v>1.35</v>
      </c>
      <c r="O37">
        <v>0.12</v>
      </c>
      <c r="P37">
        <f t="shared" si="3"/>
        <v>2.67</v>
      </c>
      <c r="Q37">
        <v>61.41</v>
      </c>
      <c r="R37">
        <v>0.84</v>
      </c>
      <c r="S37">
        <f t="shared" si="4"/>
        <v>3.51</v>
      </c>
      <c r="T37">
        <v>2.839</v>
      </c>
      <c r="U37">
        <v>6.09</v>
      </c>
      <c r="V37">
        <f t="shared" si="5"/>
        <v>6.3490000000000002</v>
      </c>
      <c r="W37">
        <f t="shared" si="6"/>
        <v>2.58</v>
      </c>
      <c r="X37">
        <f t="shared" si="7"/>
        <v>3.6789999999999998</v>
      </c>
    </row>
    <row r="38" spans="1:24">
      <c r="A38">
        <v>1719</v>
      </c>
      <c r="G38">
        <v>1.19143239625167</v>
      </c>
      <c r="H38">
        <v>1.8503118503118501</v>
      </c>
      <c r="M38">
        <v>1.19</v>
      </c>
      <c r="N38">
        <v>1.29</v>
      </c>
      <c r="O38">
        <v>0.16</v>
      </c>
      <c r="P38">
        <f t="shared" si="3"/>
        <v>2.64</v>
      </c>
      <c r="Q38">
        <v>60.72</v>
      </c>
      <c r="R38">
        <v>0.81</v>
      </c>
      <c r="S38">
        <f t="shared" si="4"/>
        <v>3.45</v>
      </c>
      <c r="T38">
        <v>2.706</v>
      </c>
      <c r="U38">
        <v>6.0259999999999998</v>
      </c>
      <c r="V38">
        <f t="shared" si="5"/>
        <v>6.1560000000000006</v>
      </c>
      <c r="W38">
        <f t="shared" si="6"/>
        <v>2.5759999999999996</v>
      </c>
      <c r="X38">
        <f t="shared" si="7"/>
        <v>3.516</v>
      </c>
    </row>
    <row r="39" spans="1:24">
      <c r="A39">
        <v>1720</v>
      </c>
      <c r="G39">
        <v>1.60399235832218</v>
      </c>
      <c r="H39">
        <v>2.4910234753984799</v>
      </c>
      <c r="M39">
        <v>0.96</v>
      </c>
      <c r="N39">
        <v>1.18</v>
      </c>
      <c r="O39">
        <v>0.11</v>
      </c>
      <c r="P39">
        <f t="shared" si="3"/>
        <v>2.2499999999999996</v>
      </c>
      <c r="Q39">
        <v>51.75</v>
      </c>
      <c r="R39">
        <v>0.98</v>
      </c>
      <c r="S39">
        <f t="shared" si="4"/>
        <v>3.2299999999999995</v>
      </c>
      <c r="T39">
        <v>2.7690000000000001</v>
      </c>
      <c r="U39">
        <v>6.3230000000000004</v>
      </c>
      <c r="V39">
        <f t="shared" si="5"/>
        <v>5.9989999999999997</v>
      </c>
      <c r="W39">
        <f t="shared" si="6"/>
        <v>3.0930000000000009</v>
      </c>
      <c r="X39">
        <f t="shared" si="7"/>
        <v>3.7490000000000001</v>
      </c>
    </row>
    <row r="40" spans="1:24">
      <c r="A40">
        <v>1721</v>
      </c>
      <c r="G40">
        <v>1.26506024096386</v>
      </c>
      <c r="H40">
        <v>1.96465696465696</v>
      </c>
      <c r="M40">
        <v>0.75</v>
      </c>
      <c r="N40">
        <v>0.7</v>
      </c>
      <c r="O40">
        <v>0.1</v>
      </c>
      <c r="P40">
        <f t="shared" ref="P40:P71" si="8">SUM(M40:O40)</f>
        <v>1.55</v>
      </c>
      <c r="Q40">
        <v>35.65</v>
      </c>
      <c r="R40">
        <v>1</v>
      </c>
      <c r="S40">
        <f t="shared" ref="S40:S71" si="9">R40+P40</f>
        <v>2.5499999999999998</v>
      </c>
      <c r="T40">
        <v>3.3140000000000001</v>
      </c>
      <c r="U40">
        <v>5.9539999999999997</v>
      </c>
      <c r="V40">
        <f t="shared" ref="V40:V71" si="10">T40+S40</f>
        <v>5.8639999999999999</v>
      </c>
      <c r="W40">
        <f t="shared" ref="W40:W71" si="11">U40-S40</f>
        <v>3.4039999999999999</v>
      </c>
      <c r="X40">
        <f t="shared" ref="X40:X71" si="12">T40+R40</f>
        <v>4.3140000000000001</v>
      </c>
    </row>
    <row r="41" spans="1:24">
      <c r="A41">
        <v>1722</v>
      </c>
      <c r="B41">
        <v>74.400000000000006</v>
      </c>
      <c r="C41">
        <v>3.8</v>
      </c>
      <c r="D41">
        <f>(C41+B41)/G41</f>
        <v>61.815238095237873</v>
      </c>
      <c r="E41">
        <f>(B41+C41)/H41</f>
        <v>39.803386243386335</v>
      </c>
      <c r="G41">
        <v>1.26506024096386</v>
      </c>
      <c r="H41">
        <v>1.96465696465696</v>
      </c>
      <c r="M41">
        <v>1.01</v>
      </c>
      <c r="N41">
        <v>1.67</v>
      </c>
      <c r="O41">
        <v>0.11</v>
      </c>
      <c r="P41">
        <f t="shared" si="8"/>
        <v>2.7899999999999996</v>
      </c>
      <c r="Q41">
        <v>64.17</v>
      </c>
      <c r="R41">
        <v>1.18</v>
      </c>
      <c r="S41">
        <f t="shared" si="9"/>
        <v>3.9699999999999998</v>
      </c>
      <c r="T41">
        <v>3.012</v>
      </c>
      <c r="U41">
        <v>6.15</v>
      </c>
      <c r="V41">
        <f t="shared" si="10"/>
        <v>6.9819999999999993</v>
      </c>
      <c r="W41">
        <f t="shared" si="11"/>
        <v>2.1800000000000006</v>
      </c>
      <c r="X41">
        <f t="shared" si="12"/>
        <v>4.1920000000000002</v>
      </c>
    </row>
    <row r="42" spans="1:24">
      <c r="A42">
        <v>1723</v>
      </c>
      <c r="G42">
        <v>1.3152610441767101</v>
      </c>
      <c r="H42">
        <v>2.0426195426195402</v>
      </c>
      <c r="M42">
        <v>0.89</v>
      </c>
      <c r="N42">
        <v>0.83</v>
      </c>
      <c r="O42">
        <v>0.09</v>
      </c>
      <c r="P42">
        <f t="shared" si="8"/>
        <v>1.81</v>
      </c>
      <c r="Q42">
        <v>41.63</v>
      </c>
      <c r="R42">
        <v>0.94</v>
      </c>
      <c r="S42">
        <f t="shared" si="9"/>
        <v>2.75</v>
      </c>
      <c r="T42">
        <v>2.919</v>
      </c>
      <c r="U42">
        <v>5.9930000000000003</v>
      </c>
      <c r="V42">
        <f t="shared" si="10"/>
        <v>5.6690000000000005</v>
      </c>
      <c r="W42">
        <f t="shared" si="11"/>
        <v>3.2430000000000003</v>
      </c>
      <c r="X42">
        <f t="shared" si="12"/>
        <v>3.859</v>
      </c>
    </row>
    <row r="43" spans="1:24">
      <c r="A43">
        <v>1724</v>
      </c>
      <c r="B43">
        <v>65.3</v>
      </c>
      <c r="C43">
        <v>3.5</v>
      </c>
      <c r="D43">
        <f>(C43+B43)/G43</f>
        <v>67.790403957130792</v>
      </c>
      <c r="E43">
        <f>(B43+C43)/H43</f>
        <v>43.650849134377609</v>
      </c>
      <c r="G43">
        <v>1.0148929049531501</v>
      </c>
      <c r="H43">
        <v>1.57614345114345</v>
      </c>
      <c r="M43">
        <v>0.86</v>
      </c>
      <c r="N43">
        <v>0.63</v>
      </c>
      <c r="O43">
        <v>0.12</v>
      </c>
      <c r="P43">
        <f t="shared" si="8"/>
        <v>1.6099999999999999</v>
      </c>
      <c r="Q43">
        <v>37.03</v>
      </c>
      <c r="R43">
        <v>0.97</v>
      </c>
      <c r="S43">
        <f t="shared" si="9"/>
        <v>2.58</v>
      </c>
      <c r="T43">
        <v>2.8639999999999999</v>
      </c>
      <c r="U43">
        <v>5.7729999999999997</v>
      </c>
      <c r="V43">
        <f t="shared" si="10"/>
        <v>5.444</v>
      </c>
      <c r="W43">
        <f t="shared" si="11"/>
        <v>3.1929999999999996</v>
      </c>
      <c r="X43">
        <f t="shared" si="12"/>
        <v>3.8339999999999996</v>
      </c>
    </row>
    <row r="44" spans="1:24">
      <c r="A44">
        <v>1725</v>
      </c>
      <c r="B44">
        <v>61.7</v>
      </c>
      <c r="C44">
        <v>3.5</v>
      </c>
      <c r="D44">
        <f>(C44+B44)/G44</f>
        <v>78.240000000000038</v>
      </c>
      <c r="E44">
        <f>(B44+C44)/H44</f>
        <v>50.379437751004183</v>
      </c>
      <c r="G44">
        <v>0.83333333333333304</v>
      </c>
      <c r="H44">
        <v>1.2941787941787899</v>
      </c>
      <c r="M44">
        <v>0.77</v>
      </c>
      <c r="N44">
        <v>0.6</v>
      </c>
      <c r="O44">
        <v>0.09</v>
      </c>
      <c r="P44">
        <f t="shared" si="8"/>
        <v>1.4600000000000002</v>
      </c>
      <c r="Q44">
        <v>33.58</v>
      </c>
      <c r="R44">
        <v>1.25</v>
      </c>
      <c r="S44">
        <f t="shared" si="9"/>
        <v>2.71</v>
      </c>
      <c r="T44">
        <v>2.7959999999999998</v>
      </c>
      <c r="U44">
        <v>5.96</v>
      </c>
      <c r="V44">
        <f t="shared" si="10"/>
        <v>5.5060000000000002</v>
      </c>
      <c r="W44">
        <f t="shared" si="11"/>
        <v>3.25</v>
      </c>
      <c r="X44">
        <f t="shared" si="12"/>
        <v>4.0459999999999994</v>
      </c>
    </row>
    <row r="45" spans="1:24">
      <c r="A45">
        <v>1726</v>
      </c>
      <c r="G45">
        <v>0.93055555555555602</v>
      </c>
      <c r="H45">
        <v>1.4451663201663201</v>
      </c>
      <c r="M45">
        <v>0.99</v>
      </c>
      <c r="N45">
        <v>0.69</v>
      </c>
      <c r="O45">
        <v>0.1</v>
      </c>
      <c r="P45">
        <f t="shared" si="8"/>
        <v>1.78</v>
      </c>
      <c r="Q45">
        <v>40.94</v>
      </c>
      <c r="R45">
        <v>1.0900000000000001</v>
      </c>
      <c r="S45">
        <f t="shared" si="9"/>
        <v>2.87</v>
      </c>
      <c r="T45">
        <v>2.6669999999999998</v>
      </c>
      <c r="U45">
        <v>5.5179999999999998</v>
      </c>
      <c r="V45">
        <f t="shared" si="10"/>
        <v>5.5369999999999999</v>
      </c>
      <c r="W45">
        <f t="shared" si="11"/>
        <v>2.6479999999999997</v>
      </c>
      <c r="X45">
        <f t="shared" si="12"/>
        <v>3.7569999999999997</v>
      </c>
    </row>
    <row r="46" spans="1:24">
      <c r="A46">
        <v>1727</v>
      </c>
      <c r="G46">
        <v>1</v>
      </c>
      <c r="H46">
        <v>1.55301455301455</v>
      </c>
      <c r="M46">
        <v>1.19</v>
      </c>
      <c r="N46">
        <v>0.83</v>
      </c>
      <c r="O46">
        <v>0.11</v>
      </c>
      <c r="P46">
        <f t="shared" si="8"/>
        <v>2.13</v>
      </c>
      <c r="Q46">
        <v>48.99</v>
      </c>
      <c r="R46">
        <v>0.94</v>
      </c>
      <c r="S46">
        <f t="shared" si="9"/>
        <v>3.07</v>
      </c>
      <c r="T46">
        <v>2.7829999999999999</v>
      </c>
      <c r="U46">
        <v>6.1029999999999998</v>
      </c>
      <c r="V46">
        <f t="shared" si="10"/>
        <v>5.8529999999999998</v>
      </c>
      <c r="W46">
        <f t="shared" si="11"/>
        <v>3.0329999999999999</v>
      </c>
      <c r="X46">
        <f t="shared" si="12"/>
        <v>3.7229999999999999</v>
      </c>
    </row>
    <row r="47" spans="1:24">
      <c r="A47">
        <v>1728</v>
      </c>
      <c r="G47">
        <v>1</v>
      </c>
      <c r="H47">
        <v>1.55301455301455</v>
      </c>
      <c r="M47">
        <v>1.38</v>
      </c>
      <c r="N47">
        <v>1.54</v>
      </c>
      <c r="O47">
        <v>0.2</v>
      </c>
      <c r="P47">
        <f t="shared" si="8"/>
        <v>3.12</v>
      </c>
      <c r="Q47">
        <v>71.760000000000005</v>
      </c>
      <c r="R47">
        <v>1.05</v>
      </c>
      <c r="S47">
        <f t="shared" si="9"/>
        <v>4.17</v>
      </c>
      <c r="T47">
        <v>2.335</v>
      </c>
      <c r="U47">
        <v>6.7409999999999997</v>
      </c>
      <c r="V47">
        <f t="shared" si="10"/>
        <v>6.5049999999999999</v>
      </c>
      <c r="W47">
        <f t="shared" si="11"/>
        <v>2.5709999999999997</v>
      </c>
      <c r="X47">
        <f t="shared" si="12"/>
        <v>3.3849999999999998</v>
      </c>
    </row>
    <row r="48" spans="1:24">
      <c r="A48">
        <v>1729</v>
      </c>
      <c r="G48">
        <v>1</v>
      </c>
      <c r="H48">
        <v>1.55301455301455</v>
      </c>
      <c r="M48">
        <v>1.29</v>
      </c>
      <c r="N48">
        <v>0.93</v>
      </c>
      <c r="O48">
        <v>0.16</v>
      </c>
      <c r="P48">
        <f t="shared" si="8"/>
        <v>2.3800000000000003</v>
      </c>
      <c r="Q48">
        <v>54.74</v>
      </c>
      <c r="R48">
        <v>1.04</v>
      </c>
      <c r="S48">
        <f t="shared" si="9"/>
        <v>3.4200000000000004</v>
      </c>
      <c r="T48">
        <v>2.2839999999999998</v>
      </c>
      <c r="U48">
        <v>6.2939999999999996</v>
      </c>
      <c r="V48">
        <f t="shared" si="10"/>
        <v>5.7040000000000006</v>
      </c>
      <c r="W48">
        <f t="shared" si="11"/>
        <v>2.8739999999999992</v>
      </c>
      <c r="X48">
        <f t="shared" si="12"/>
        <v>3.3239999999999998</v>
      </c>
    </row>
    <row r="49" spans="1:24">
      <c r="A49">
        <v>1730</v>
      </c>
      <c r="G49">
        <v>1</v>
      </c>
      <c r="H49">
        <v>1.55301455301455</v>
      </c>
      <c r="M49">
        <v>1.2</v>
      </c>
      <c r="N49">
        <v>1.03</v>
      </c>
      <c r="O49">
        <v>0.12</v>
      </c>
      <c r="P49">
        <f t="shared" si="8"/>
        <v>2.35</v>
      </c>
      <c r="Q49">
        <v>54.05</v>
      </c>
      <c r="R49">
        <v>0.94</v>
      </c>
      <c r="S49">
        <f t="shared" si="9"/>
        <v>3.29</v>
      </c>
      <c r="T49">
        <v>2.2799999999999998</v>
      </c>
      <c r="U49">
        <v>6.2649999999999997</v>
      </c>
      <c r="V49">
        <f t="shared" si="10"/>
        <v>5.57</v>
      </c>
      <c r="W49">
        <f t="shared" si="11"/>
        <v>2.9749999999999996</v>
      </c>
      <c r="X49">
        <f t="shared" si="12"/>
        <v>3.2199999999999998</v>
      </c>
    </row>
    <row r="50" spans="1:24">
      <c r="A50">
        <v>1731</v>
      </c>
      <c r="G50">
        <v>1</v>
      </c>
      <c r="H50">
        <v>1.55301455301455</v>
      </c>
      <c r="M50">
        <v>1.35</v>
      </c>
      <c r="N50">
        <v>0.82</v>
      </c>
      <c r="O50">
        <v>0.14000000000000001</v>
      </c>
      <c r="P50">
        <f t="shared" si="8"/>
        <v>2.31</v>
      </c>
      <c r="Q50">
        <v>53.13</v>
      </c>
      <c r="R50">
        <v>0.92</v>
      </c>
      <c r="S50">
        <f t="shared" si="9"/>
        <v>3.23</v>
      </c>
      <c r="T50">
        <v>2.12</v>
      </c>
      <c r="U50">
        <v>6.08</v>
      </c>
      <c r="V50">
        <f t="shared" si="10"/>
        <v>5.35</v>
      </c>
      <c r="W50">
        <f t="shared" si="11"/>
        <v>2.85</v>
      </c>
      <c r="X50">
        <f t="shared" si="12"/>
        <v>3.04</v>
      </c>
    </row>
    <row r="51" spans="1:24">
      <c r="A51">
        <v>1732</v>
      </c>
      <c r="G51">
        <v>1</v>
      </c>
      <c r="H51">
        <v>1.55301455301455</v>
      </c>
      <c r="M51">
        <v>1.01</v>
      </c>
      <c r="N51">
        <v>0.7</v>
      </c>
      <c r="O51">
        <v>0.11</v>
      </c>
      <c r="P51">
        <f t="shared" si="8"/>
        <v>1.82</v>
      </c>
      <c r="Q51">
        <v>41.86</v>
      </c>
      <c r="R51">
        <v>0.93</v>
      </c>
      <c r="S51">
        <f t="shared" si="9"/>
        <v>2.75</v>
      </c>
      <c r="T51">
        <v>2.2170000000000001</v>
      </c>
      <c r="U51">
        <v>5.8029999999999999</v>
      </c>
      <c r="V51">
        <f t="shared" si="10"/>
        <v>4.9670000000000005</v>
      </c>
      <c r="W51">
        <f t="shared" si="11"/>
        <v>3.0529999999999999</v>
      </c>
      <c r="X51">
        <f t="shared" si="12"/>
        <v>3.1470000000000002</v>
      </c>
    </row>
    <row r="52" spans="1:24">
      <c r="A52">
        <v>1733</v>
      </c>
      <c r="G52">
        <v>1</v>
      </c>
      <c r="H52">
        <v>1.55301455301455</v>
      </c>
      <c r="M52">
        <v>0.79</v>
      </c>
      <c r="N52">
        <v>0.56000000000000005</v>
      </c>
      <c r="O52">
        <v>0.15</v>
      </c>
      <c r="P52">
        <f t="shared" si="8"/>
        <v>1.5</v>
      </c>
      <c r="Q52">
        <v>34.5</v>
      </c>
      <c r="R52">
        <v>0.96</v>
      </c>
      <c r="S52">
        <f t="shared" si="9"/>
        <v>2.46</v>
      </c>
      <c r="T52">
        <v>2.1429999999999998</v>
      </c>
      <c r="U52">
        <v>5.5220000000000002</v>
      </c>
      <c r="V52">
        <f t="shared" si="10"/>
        <v>4.6029999999999998</v>
      </c>
      <c r="W52">
        <f t="shared" si="11"/>
        <v>3.0620000000000003</v>
      </c>
      <c r="X52">
        <f t="shared" si="12"/>
        <v>3.1029999999999998</v>
      </c>
    </row>
    <row r="53" spans="1:24">
      <c r="A53">
        <v>1734</v>
      </c>
      <c r="B53">
        <v>120.1</v>
      </c>
      <c r="C53">
        <v>5.8</v>
      </c>
      <c r="D53">
        <f>(B53+C53)/H53</f>
        <v>81.068139223561062</v>
      </c>
      <c r="G53">
        <v>1</v>
      </c>
      <c r="H53">
        <v>1.55301455301455</v>
      </c>
      <c r="M53">
        <v>0.71</v>
      </c>
      <c r="N53">
        <v>2.08</v>
      </c>
      <c r="O53">
        <v>0.46</v>
      </c>
      <c r="P53">
        <f t="shared" si="8"/>
        <v>3.25</v>
      </c>
      <c r="Q53">
        <v>74.75</v>
      </c>
      <c r="R53">
        <v>1.06</v>
      </c>
      <c r="S53">
        <f t="shared" si="9"/>
        <v>4.3100000000000005</v>
      </c>
      <c r="T53">
        <v>2.052</v>
      </c>
      <c r="U53">
        <v>5.4480000000000004</v>
      </c>
      <c r="V53">
        <f t="shared" si="10"/>
        <v>6.3620000000000001</v>
      </c>
      <c r="W53">
        <f t="shared" si="11"/>
        <v>1.1379999999999999</v>
      </c>
      <c r="X53">
        <f t="shared" si="12"/>
        <v>3.1120000000000001</v>
      </c>
    </row>
    <row r="54" spans="1:24">
      <c r="A54">
        <v>1735</v>
      </c>
      <c r="G54">
        <v>1</v>
      </c>
      <c r="H54">
        <v>1.55301455301455</v>
      </c>
      <c r="M54">
        <v>1.04</v>
      </c>
      <c r="N54">
        <v>1.55</v>
      </c>
      <c r="O54">
        <v>0.16</v>
      </c>
      <c r="P54">
        <f t="shared" si="8"/>
        <v>2.75</v>
      </c>
      <c r="Q54">
        <v>63.25</v>
      </c>
      <c r="R54">
        <v>0.94</v>
      </c>
      <c r="S54">
        <f t="shared" si="9"/>
        <v>3.69</v>
      </c>
      <c r="T54">
        <v>2.1739999999999999</v>
      </c>
      <c r="U54">
        <v>5.6520000000000001</v>
      </c>
      <c r="V54">
        <f t="shared" si="10"/>
        <v>5.8639999999999999</v>
      </c>
      <c r="W54">
        <f t="shared" si="11"/>
        <v>1.9620000000000002</v>
      </c>
      <c r="X54">
        <f t="shared" si="12"/>
        <v>3.1139999999999999</v>
      </c>
    </row>
    <row r="55" spans="1:24">
      <c r="A55">
        <v>1736</v>
      </c>
      <c r="G55">
        <v>1</v>
      </c>
      <c r="H55">
        <v>1.55301455301455</v>
      </c>
      <c r="M55">
        <v>1.18</v>
      </c>
      <c r="N55">
        <v>1.39</v>
      </c>
      <c r="O55">
        <v>0.14000000000000001</v>
      </c>
      <c r="P55">
        <f t="shared" si="8"/>
        <v>2.71</v>
      </c>
      <c r="Q55">
        <v>62.33</v>
      </c>
      <c r="R55">
        <v>0.95</v>
      </c>
      <c r="S55">
        <f t="shared" si="9"/>
        <v>3.66</v>
      </c>
      <c r="T55">
        <v>2.1269999999999998</v>
      </c>
      <c r="U55">
        <v>5.7619999999999996</v>
      </c>
      <c r="V55">
        <f t="shared" si="10"/>
        <v>5.7869999999999999</v>
      </c>
      <c r="W55">
        <f t="shared" si="11"/>
        <v>2.1019999999999994</v>
      </c>
      <c r="X55">
        <f t="shared" si="12"/>
        <v>3.077</v>
      </c>
    </row>
    <row r="56" spans="1:24">
      <c r="A56">
        <v>1737</v>
      </c>
      <c r="G56">
        <v>1</v>
      </c>
      <c r="H56">
        <v>1.55301455301455</v>
      </c>
      <c r="M56">
        <v>0.84</v>
      </c>
      <c r="N56">
        <v>0.93</v>
      </c>
      <c r="O56">
        <v>0.33</v>
      </c>
      <c r="P56">
        <f t="shared" si="8"/>
        <v>2.1</v>
      </c>
      <c r="Q56">
        <v>48.3</v>
      </c>
      <c r="R56">
        <v>0.93</v>
      </c>
      <c r="S56">
        <f t="shared" si="9"/>
        <v>3.0300000000000002</v>
      </c>
      <c r="T56">
        <v>2.105</v>
      </c>
      <c r="U56">
        <v>6.077</v>
      </c>
      <c r="V56">
        <f t="shared" si="10"/>
        <v>5.1349999999999998</v>
      </c>
      <c r="W56">
        <f t="shared" si="11"/>
        <v>3.0469999999999997</v>
      </c>
      <c r="X56">
        <f t="shared" si="12"/>
        <v>3.0350000000000001</v>
      </c>
    </row>
    <row r="57" spans="1:24">
      <c r="A57">
        <v>1738</v>
      </c>
      <c r="G57">
        <v>1</v>
      </c>
      <c r="H57">
        <v>1.55301455301455</v>
      </c>
      <c r="M57">
        <v>0.85</v>
      </c>
      <c r="N57">
        <v>0.82</v>
      </c>
      <c r="O57">
        <v>0.11</v>
      </c>
      <c r="P57">
        <f t="shared" si="8"/>
        <v>1.78</v>
      </c>
      <c r="Q57">
        <v>40.94</v>
      </c>
      <c r="R57">
        <v>0.89</v>
      </c>
      <c r="S57">
        <f t="shared" si="9"/>
        <v>2.67</v>
      </c>
      <c r="T57">
        <v>2.0590000000000002</v>
      </c>
      <c r="U57">
        <v>5.7160000000000002</v>
      </c>
      <c r="V57">
        <f t="shared" si="10"/>
        <v>4.7290000000000001</v>
      </c>
      <c r="W57">
        <f t="shared" si="11"/>
        <v>3.0460000000000003</v>
      </c>
      <c r="X57">
        <f t="shared" si="12"/>
        <v>2.9490000000000003</v>
      </c>
    </row>
    <row r="58" spans="1:24">
      <c r="A58">
        <v>1739</v>
      </c>
      <c r="B58">
        <v>78.599999999999994</v>
      </c>
      <c r="C58">
        <v>5.9</v>
      </c>
      <c r="D58">
        <f>B58+C58</f>
        <v>84.5</v>
      </c>
      <c r="G58">
        <v>1</v>
      </c>
      <c r="H58">
        <v>1.55301455301455</v>
      </c>
      <c r="M58">
        <v>1.07</v>
      </c>
      <c r="N58">
        <v>0.99</v>
      </c>
      <c r="O58">
        <v>0.16</v>
      </c>
      <c r="P58">
        <f t="shared" si="8"/>
        <v>2.2200000000000002</v>
      </c>
      <c r="Q58">
        <v>51.06</v>
      </c>
      <c r="R58">
        <v>0.95</v>
      </c>
      <c r="S58">
        <f t="shared" si="9"/>
        <v>3.17</v>
      </c>
      <c r="T58">
        <v>2.0470000000000002</v>
      </c>
      <c r="U58">
        <v>5.82</v>
      </c>
      <c r="V58">
        <f t="shared" si="10"/>
        <v>5.2170000000000005</v>
      </c>
      <c r="W58">
        <f t="shared" si="11"/>
        <v>2.6500000000000004</v>
      </c>
      <c r="X58">
        <f t="shared" si="12"/>
        <v>2.9969999999999999</v>
      </c>
    </row>
    <row r="59" spans="1:24">
      <c r="A59">
        <v>1740</v>
      </c>
      <c r="B59">
        <v>102.5</v>
      </c>
      <c r="C59">
        <v>7.1</v>
      </c>
      <c r="D59">
        <f>B59+C59</f>
        <v>109.6</v>
      </c>
      <c r="G59">
        <v>1</v>
      </c>
      <c r="H59">
        <v>1.55301455301455</v>
      </c>
      <c r="M59">
        <v>1.42</v>
      </c>
      <c r="N59">
        <v>1.61</v>
      </c>
      <c r="O59">
        <v>0.19</v>
      </c>
      <c r="P59">
        <f t="shared" si="8"/>
        <v>3.22</v>
      </c>
      <c r="Q59">
        <v>74.06</v>
      </c>
      <c r="R59">
        <v>0.85</v>
      </c>
      <c r="S59">
        <f t="shared" si="9"/>
        <v>4.07</v>
      </c>
      <c r="T59">
        <v>2.1019999999999999</v>
      </c>
      <c r="U59">
        <v>5.7450000000000001</v>
      </c>
      <c r="V59">
        <f t="shared" si="10"/>
        <v>6.1720000000000006</v>
      </c>
      <c r="W59">
        <f t="shared" si="11"/>
        <v>1.6749999999999998</v>
      </c>
      <c r="X59">
        <f t="shared" si="12"/>
        <v>2.952</v>
      </c>
    </row>
    <row r="60" spans="1:24">
      <c r="A60">
        <v>1741</v>
      </c>
      <c r="B60">
        <v>105</v>
      </c>
      <c r="C60">
        <v>29.4</v>
      </c>
      <c r="D60">
        <f>B60+C60</f>
        <v>134.4</v>
      </c>
      <c r="G60">
        <v>1</v>
      </c>
      <c r="H60">
        <v>1.55301455301455</v>
      </c>
      <c r="M60">
        <v>1.78</v>
      </c>
      <c r="N60">
        <v>2.42</v>
      </c>
      <c r="O60">
        <v>0.32</v>
      </c>
      <c r="P60">
        <f t="shared" si="8"/>
        <v>4.5200000000000005</v>
      </c>
      <c r="Q60">
        <v>103.96</v>
      </c>
      <c r="R60">
        <v>0.84</v>
      </c>
      <c r="S60">
        <f t="shared" si="9"/>
        <v>5.36</v>
      </c>
      <c r="T60">
        <v>2.032</v>
      </c>
      <c r="U60">
        <v>6.2439999999999998</v>
      </c>
      <c r="V60">
        <f t="shared" si="10"/>
        <v>7.3920000000000003</v>
      </c>
      <c r="W60">
        <f t="shared" si="11"/>
        <v>0.88399999999999945</v>
      </c>
      <c r="X60">
        <f t="shared" si="12"/>
        <v>2.8719999999999999</v>
      </c>
    </row>
    <row r="61" spans="1:24">
      <c r="A61">
        <v>1742</v>
      </c>
      <c r="B61">
        <v>152.69999999999999</v>
      </c>
      <c r="C61">
        <v>39</v>
      </c>
      <c r="D61">
        <f>B61+C61</f>
        <v>191.7</v>
      </c>
      <c r="G61">
        <v>1</v>
      </c>
      <c r="H61">
        <v>1.55301455301455</v>
      </c>
      <c r="M61">
        <v>2.52</v>
      </c>
      <c r="N61">
        <v>2.8</v>
      </c>
      <c r="O61">
        <v>0.34</v>
      </c>
      <c r="P61">
        <f t="shared" si="8"/>
        <v>5.66</v>
      </c>
      <c r="Q61">
        <v>130.18</v>
      </c>
      <c r="R61">
        <v>0.83</v>
      </c>
      <c r="S61">
        <f t="shared" si="9"/>
        <v>6.49</v>
      </c>
      <c r="T61">
        <v>2.0409999999999999</v>
      </c>
      <c r="U61">
        <v>6.4160000000000004</v>
      </c>
      <c r="V61">
        <f t="shared" si="10"/>
        <v>8.5310000000000006</v>
      </c>
      <c r="W61">
        <f t="shared" si="11"/>
        <v>-7.3999999999999844E-2</v>
      </c>
      <c r="X61">
        <f t="shared" si="12"/>
        <v>2.871</v>
      </c>
    </row>
    <row r="62" spans="1:24">
      <c r="A62">
        <v>1743</v>
      </c>
      <c r="B62">
        <v>144.30000000000001</v>
      </c>
      <c r="C62">
        <v>24.7</v>
      </c>
      <c r="D62">
        <f>B62+C62</f>
        <v>169</v>
      </c>
      <c r="G62">
        <v>1</v>
      </c>
      <c r="H62">
        <v>1.55301455301455</v>
      </c>
      <c r="M62">
        <v>2.88</v>
      </c>
      <c r="N62">
        <v>2.74</v>
      </c>
      <c r="O62">
        <v>0.36</v>
      </c>
      <c r="P62">
        <f t="shared" si="8"/>
        <v>5.98</v>
      </c>
      <c r="Q62">
        <v>137.54</v>
      </c>
      <c r="R62">
        <v>0.88</v>
      </c>
      <c r="S62">
        <f t="shared" si="9"/>
        <v>6.86</v>
      </c>
      <c r="T62">
        <v>2.117</v>
      </c>
      <c r="U62">
        <v>6.5670000000000002</v>
      </c>
      <c r="V62">
        <f t="shared" si="10"/>
        <v>8.9770000000000003</v>
      </c>
      <c r="W62">
        <f t="shared" si="11"/>
        <v>-0.29300000000000015</v>
      </c>
      <c r="X62">
        <f t="shared" si="12"/>
        <v>2.9969999999999999</v>
      </c>
    </row>
    <row r="63" spans="1:24">
      <c r="A63">
        <v>1744</v>
      </c>
      <c r="G63">
        <v>1</v>
      </c>
      <c r="H63">
        <v>1.55301455301455</v>
      </c>
      <c r="M63">
        <v>3.23</v>
      </c>
      <c r="N63">
        <v>2.71</v>
      </c>
      <c r="O63">
        <v>0.36</v>
      </c>
      <c r="P63">
        <f t="shared" si="8"/>
        <v>6.3</v>
      </c>
      <c r="Q63">
        <v>144.9</v>
      </c>
      <c r="R63">
        <v>0.92</v>
      </c>
      <c r="S63">
        <f t="shared" si="9"/>
        <v>7.22</v>
      </c>
      <c r="T63">
        <v>2.1779999999999999</v>
      </c>
      <c r="U63">
        <v>6.5759999999999996</v>
      </c>
      <c r="V63">
        <f t="shared" si="10"/>
        <v>9.3979999999999997</v>
      </c>
      <c r="W63">
        <f t="shared" si="11"/>
        <v>-0.64400000000000013</v>
      </c>
      <c r="X63">
        <f t="shared" si="12"/>
        <v>3.0979999999999999</v>
      </c>
    </row>
    <row r="64" spans="1:24">
      <c r="A64">
        <v>1745</v>
      </c>
      <c r="G64">
        <v>1</v>
      </c>
      <c r="H64">
        <v>1.55301455301455</v>
      </c>
      <c r="M64">
        <v>2.79</v>
      </c>
      <c r="N64">
        <v>2.69</v>
      </c>
      <c r="O64">
        <v>0.35</v>
      </c>
      <c r="P64">
        <f t="shared" si="8"/>
        <v>5.83</v>
      </c>
      <c r="Q64">
        <v>134.09</v>
      </c>
      <c r="R64">
        <v>0.84</v>
      </c>
      <c r="S64">
        <f t="shared" si="9"/>
        <v>6.67</v>
      </c>
      <c r="T64">
        <v>2.2589999999999999</v>
      </c>
      <c r="U64">
        <v>6.4509999999999996</v>
      </c>
      <c r="V64">
        <f t="shared" si="10"/>
        <v>8.9290000000000003</v>
      </c>
      <c r="W64">
        <f t="shared" si="11"/>
        <v>-0.21900000000000031</v>
      </c>
      <c r="X64">
        <f t="shared" si="12"/>
        <v>3.0989999999999998</v>
      </c>
    </row>
    <row r="65" spans="1:24">
      <c r="A65">
        <v>1746</v>
      </c>
      <c r="G65">
        <v>1</v>
      </c>
      <c r="H65">
        <v>1.55301455301455</v>
      </c>
      <c r="M65">
        <v>3.73</v>
      </c>
      <c r="N65">
        <v>2.4</v>
      </c>
      <c r="O65">
        <v>0.57999999999999996</v>
      </c>
      <c r="P65">
        <f t="shared" si="8"/>
        <v>6.71</v>
      </c>
      <c r="Q65">
        <v>154.33000000000001</v>
      </c>
      <c r="R65">
        <v>0.78</v>
      </c>
      <c r="S65">
        <f t="shared" si="9"/>
        <v>7.49</v>
      </c>
      <c r="T65">
        <v>2.3159999999999998</v>
      </c>
      <c r="U65">
        <v>6.2489999999999997</v>
      </c>
      <c r="V65">
        <f t="shared" si="10"/>
        <v>9.8060000000000009</v>
      </c>
      <c r="W65">
        <f t="shared" si="11"/>
        <v>-1.2410000000000005</v>
      </c>
      <c r="X65">
        <f t="shared" si="12"/>
        <v>3.0960000000000001</v>
      </c>
    </row>
    <row r="66" spans="1:24">
      <c r="A66">
        <v>1747</v>
      </c>
      <c r="G66">
        <v>1</v>
      </c>
      <c r="H66">
        <v>1.55301455301455</v>
      </c>
      <c r="M66">
        <v>3.68</v>
      </c>
      <c r="N66">
        <v>3.18</v>
      </c>
      <c r="O66">
        <v>0.52</v>
      </c>
      <c r="P66">
        <f t="shared" si="8"/>
        <v>7.3800000000000008</v>
      </c>
      <c r="Q66">
        <v>169.74</v>
      </c>
      <c r="R66">
        <v>1.37</v>
      </c>
      <c r="S66">
        <f t="shared" si="9"/>
        <v>8.75</v>
      </c>
      <c r="T66">
        <v>2.7160000000000002</v>
      </c>
      <c r="U66">
        <v>6.9610000000000003</v>
      </c>
      <c r="V66">
        <f t="shared" si="10"/>
        <v>11.466000000000001</v>
      </c>
      <c r="W66">
        <f t="shared" si="11"/>
        <v>-1.7889999999999997</v>
      </c>
      <c r="X66">
        <f t="shared" si="12"/>
        <v>4.0860000000000003</v>
      </c>
    </row>
    <row r="67" spans="1:24">
      <c r="A67">
        <v>1748</v>
      </c>
      <c r="G67">
        <v>1</v>
      </c>
      <c r="H67">
        <v>1.55301455301455</v>
      </c>
      <c r="M67">
        <v>4.17</v>
      </c>
      <c r="N67">
        <v>3.36</v>
      </c>
      <c r="O67">
        <v>0.56999999999999995</v>
      </c>
      <c r="P67">
        <f t="shared" si="8"/>
        <v>8.1</v>
      </c>
      <c r="Q67">
        <v>186.3</v>
      </c>
      <c r="R67">
        <v>1</v>
      </c>
      <c r="S67">
        <f t="shared" si="9"/>
        <v>9.1</v>
      </c>
      <c r="T67">
        <v>2.8420000000000001</v>
      </c>
      <c r="U67">
        <v>7.1989999999999998</v>
      </c>
      <c r="V67">
        <f t="shared" si="10"/>
        <v>11.942</v>
      </c>
      <c r="W67">
        <f t="shared" si="11"/>
        <v>-1.9009999999999998</v>
      </c>
      <c r="X67">
        <f t="shared" si="12"/>
        <v>3.8420000000000001</v>
      </c>
    </row>
    <row r="68" spans="1:24">
      <c r="A68">
        <v>1749</v>
      </c>
      <c r="G68">
        <v>1</v>
      </c>
      <c r="H68">
        <v>1.55301455301455</v>
      </c>
      <c r="M68">
        <v>2.34</v>
      </c>
      <c r="N68">
        <v>5.61</v>
      </c>
      <c r="O68">
        <v>0.54</v>
      </c>
      <c r="P68">
        <f t="shared" si="8"/>
        <v>8.49</v>
      </c>
      <c r="Q68">
        <v>195.27</v>
      </c>
      <c r="R68">
        <v>1.08</v>
      </c>
      <c r="S68">
        <f t="shared" si="9"/>
        <v>9.57</v>
      </c>
      <c r="T68">
        <v>2.9809999999999999</v>
      </c>
      <c r="U68">
        <v>7.4939999999999998</v>
      </c>
      <c r="V68">
        <f t="shared" si="10"/>
        <v>12.551</v>
      </c>
      <c r="W68">
        <f t="shared" si="11"/>
        <v>-2.0760000000000005</v>
      </c>
      <c r="X68">
        <f t="shared" si="12"/>
        <v>4.0609999999999999</v>
      </c>
    </row>
    <row r="69" spans="1:24">
      <c r="A69">
        <v>1750</v>
      </c>
      <c r="G69">
        <v>1</v>
      </c>
      <c r="H69">
        <v>1.55301455301455</v>
      </c>
      <c r="M69">
        <v>1.34</v>
      </c>
      <c r="N69">
        <v>1.38</v>
      </c>
      <c r="O69">
        <v>0.23</v>
      </c>
      <c r="P69">
        <f t="shared" si="8"/>
        <v>2.9499999999999997</v>
      </c>
      <c r="Q69">
        <v>67.849999999999994</v>
      </c>
      <c r="R69">
        <v>1.02</v>
      </c>
      <c r="S69">
        <f t="shared" si="9"/>
        <v>3.9699999999999998</v>
      </c>
      <c r="T69">
        <v>3.218</v>
      </c>
      <c r="U69">
        <v>7.4669999999999996</v>
      </c>
      <c r="V69">
        <f t="shared" si="10"/>
        <v>7.1879999999999997</v>
      </c>
      <c r="W69">
        <f t="shared" si="11"/>
        <v>3.4969999999999999</v>
      </c>
      <c r="X69">
        <f t="shared" si="12"/>
        <v>4.2379999999999995</v>
      </c>
    </row>
    <row r="70" spans="1:24">
      <c r="A70">
        <v>1751</v>
      </c>
      <c r="B70">
        <v>105.8</v>
      </c>
      <c r="C70">
        <v>22.6</v>
      </c>
      <c r="D70">
        <f>B70+C70</f>
        <v>128.4</v>
      </c>
      <c r="G70">
        <v>1</v>
      </c>
      <c r="H70">
        <v>1.55301455301455</v>
      </c>
      <c r="M70">
        <v>1.38</v>
      </c>
      <c r="N70">
        <v>0.89</v>
      </c>
      <c r="O70">
        <v>0.1</v>
      </c>
      <c r="P70">
        <f t="shared" si="8"/>
        <v>2.37</v>
      </c>
      <c r="Q70">
        <v>54.51</v>
      </c>
      <c r="R70">
        <v>1.07</v>
      </c>
      <c r="S70">
        <f t="shared" si="9"/>
        <v>3.4400000000000004</v>
      </c>
      <c r="T70">
        <v>2.9780000000000002</v>
      </c>
      <c r="U70">
        <v>7.0970000000000004</v>
      </c>
      <c r="V70">
        <f t="shared" si="10"/>
        <v>6.418000000000001</v>
      </c>
      <c r="W70">
        <f t="shared" si="11"/>
        <v>3.657</v>
      </c>
      <c r="X70">
        <f t="shared" si="12"/>
        <v>4.048</v>
      </c>
    </row>
    <row r="71" spans="1:24">
      <c r="A71">
        <v>1752</v>
      </c>
      <c r="G71">
        <v>1</v>
      </c>
      <c r="H71">
        <v>1.55301455301455</v>
      </c>
      <c r="M71">
        <v>0.98</v>
      </c>
      <c r="N71">
        <v>1.85</v>
      </c>
      <c r="O71">
        <v>0.15</v>
      </c>
      <c r="P71">
        <f t="shared" si="8"/>
        <v>2.98</v>
      </c>
      <c r="Q71">
        <v>68.540000000000006</v>
      </c>
      <c r="R71">
        <v>1.1100000000000001</v>
      </c>
      <c r="S71">
        <f t="shared" si="9"/>
        <v>4.09</v>
      </c>
      <c r="T71">
        <v>2.944</v>
      </c>
      <c r="U71">
        <v>6.992</v>
      </c>
      <c r="V71">
        <f t="shared" si="10"/>
        <v>7.0339999999999998</v>
      </c>
      <c r="W71">
        <f t="shared" si="11"/>
        <v>2.9020000000000001</v>
      </c>
      <c r="X71">
        <f t="shared" si="12"/>
        <v>4.0540000000000003</v>
      </c>
    </row>
    <row r="72" spans="1:24">
      <c r="A72">
        <v>1753</v>
      </c>
      <c r="G72">
        <v>1</v>
      </c>
      <c r="H72">
        <v>1.55301455301455</v>
      </c>
      <c r="M72">
        <v>1.1399999999999999</v>
      </c>
      <c r="N72">
        <v>0.85</v>
      </c>
      <c r="O72">
        <v>0.13</v>
      </c>
      <c r="P72">
        <f t="shared" ref="P72:P103" si="13">SUM(M72:O72)</f>
        <v>2.1199999999999997</v>
      </c>
      <c r="Q72">
        <v>48.76</v>
      </c>
      <c r="R72">
        <v>1.07</v>
      </c>
      <c r="S72">
        <f t="shared" ref="S72:S103" si="14">R72+P72</f>
        <v>3.1899999999999995</v>
      </c>
      <c r="T72">
        <v>2.762</v>
      </c>
      <c r="U72">
        <v>7.3380000000000001</v>
      </c>
      <c r="V72">
        <f t="shared" ref="V72:V103" si="15">T72+S72</f>
        <v>5.952</v>
      </c>
      <c r="W72">
        <f t="shared" ref="W72:W103" si="16">U72-S72</f>
        <v>4.1480000000000006</v>
      </c>
      <c r="X72">
        <f t="shared" ref="X72:X103" si="17">T72+R72</f>
        <v>3.8319999999999999</v>
      </c>
    </row>
    <row r="73" spans="1:24">
      <c r="A73">
        <v>1754</v>
      </c>
      <c r="B73">
        <v>105.8</v>
      </c>
      <c r="C73">
        <v>18</v>
      </c>
      <c r="D73">
        <f>B73+C73</f>
        <v>123.8</v>
      </c>
      <c r="G73">
        <v>1</v>
      </c>
      <c r="H73">
        <v>1.55301455301455</v>
      </c>
      <c r="M73">
        <v>1.07</v>
      </c>
      <c r="N73">
        <v>0.94</v>
      </c>
      <c r="O73">
        <v>0.15</v>
      </c>
      <c r="P73">
        <f t="shared" si="13"/>
        <v>2.1599999999999997</v>
      </c>
      <c r="Q73">
        <v>49.68</v>
      </c>
      <c r="R73">
        <v>1.04</v>
      </c>
      <c r="S73">
        <f t="shared" si="14"/>
        <v>3.1999999999999997</v>
      </c>
      <c r="T73">
        <v>2.823</v>
      </c>
      <c r="U73">
        <v>6.827</v>
      </c>
      <c r="V73">
        <f t="shared" si="15"/>
        <v>6.0229999999999997</v>
      </c>
      <c r="W73">
        <f t="shared" si="16"/>
        <v>3.6270000000000002</v>
      </c>
      <c r="X73">
        <f t="shared" si="17"/>
        <v>3.863</v>
      </c>
    </row>
    <row r="74" spans="1:24">
      <c r="A74">
        <v>1755</v>
      </c>
      <c r="G74">
        <v>1</v>
      </c>
      <c r="H74">
        <v>1.55301455301455</v>
      </c>
      <c r="M74">
        <v>1.4</v>
      </c>
      <c r="N74">
        <v>1.81</v>
      </c>
      <c r="O74">
        <v>0.18</v>
      </c>
      <c r="P74">
        <f t="shared" si="13"/>
        <v>3.39</v>
      </c>
      <c r="Q74">
        <v>77.97</v>
      </c>
      <c r="R74">
        <v>1</v>
      </c>
      <c r="S74">
        <f t="shared" si="14"/>
        <v>4.3900000000000006</v>
      </c>
      <c r="T74">
        <v>2.7309999999999999</v>
      </c>
      <c r="U74">
        <v>6.9379999999999997</v>
      </c>
      <c r="V74">
        <f t="shared" si="15"/>
        <v>7.1210000000000004</v>
      </c>
      <c r="W74">
        <f t="shared" si="16"/>
        <v>2.5479999999999992</v>
      </c>
      <c r="X74">
        <f t="shared" si="17"/>
        <v>3.7309999999999999</v>
      </c>
    </row>
    <row r="75" spans="1:24">
      <c r="A75">
        <v>1756</v>
      </c>
      <c r="B75">
        <v>132.5</v>
      </c>
      <c r="C75">
        <v>18</v>
      </c>
      <c r="D75">
        <f>B75+C75</f>
        <v>150.5</v>
      </c>
      <c r="G75">
        <v>1</v>
      </c>
      <c r="H75">
        <v>1.55301455301455</v>
      </c>
      <c r="M75">
        <v>2.4</v>
      </c>
      <c r="N75">
        <v>2.71</v>
      </c>
      <c r="O75">
        <v>0.43</v>
      </c>
      <c r="P75">
        <f t="shared" si="13"/>
        <v>5.5399999999999991</v>
      </c>
      <c r="Q75">
        <v>127.42</v>
      </c>
      <c r="R75">
        <v>1.29</v>
      </c>
      <c r="S75">
        <f t="shared" si="14"/>
        <v>6.8299999999999992</v>
      </c>
      <c r="T75">
        <v>2.7610000000000001</v>
      </c>
      <c r="U75">
        <v>7.0060000000000002</v>
      </c>
      <c r="V75">
        <f t="shared" si="15"/>
        <v>9.5909999999999993</v>
      </c>
      <c r="W75">
        <f t="shared" si="16"/>
        <v>0.17600000000000104</v>
      </c>
      <c r="X75">
        <f t="shared" si="17"/>
        <v>4.0510000000000002</v>
      </c>
    </row>
    <row r="76" spans="1:24">
      <c r="A76">
        <v>1757</v>
      </c>
      <c r="D76" s="13">
        <v>250</v>
      </c>
      <c r="G76">
        <v>1</v>
      </c>
      <c r="H76">
        <v>1.55301455301455</v>
      </c>
      <c r="M76">
        <v>3.21</v>
      </c>
      <c r="N76">
        <v>3.6</v>
      </c>
      <c r="O76">
        <v>0.52</v>
      </c>
      <c r="P76">
        <f t="shared" si="13"/>
        <v>7.33</v>
      </c>
      <c r="Q76">
        <v>168.59</v>
      </c>
      <c r="R76">
        <v>1.08</v>
      </c>
      <c r="S76">
        <f t="shared" si="14"/>
        <v>8.41</v>
      </c>
      <c r="T76">
        <v>2.8050000000000002</v>
      </c>
      <c r="U76">
        <v>7.9690000000000003</v>
      </c>
      <c r="V76">
        <f t="shared" si="15"/>
        <v>11.215</v>
      </c>
      <c r="W76">
        <f t="shared" si="16"/>
        <v>-0.44099999999999984</v>
      </c>
      <c r="X76">
        <f t="shared" si="17"/>
        <v>3.8850000000000002</v>
      </c>
    </row>
    <row r="77" spans="1:24">
      <c r="A77">
        <v>1758</v>
      </c>
      <c r="B77">
        <v>200.8</v>
      </c>
      <c r="C77">
        <v>49.9</v>
      </c>
      <c r="D77">
        <f>B77+C77</f>
        <v>250.70000000000002</v>
      </c>
      <c r="G77">
        <v>1</v>
      </c>
      <c r="H77">
        <v>1.55301455301455</v>
      </c>
      <c r="M77">
        <v>4.59</v>
      </c>
      <c r="N77">
        <v>3.89</v>
      </c>
      <c r="O77">
        <v>0.55000000000000004</v>
      </c>
      <c r="P77">
        <f t="shared" si="13"/>
        <v>9.0300000000000011</v>
      </c>
      <c r="Q77">
        <v>207.69</v>
      </c>
      <c r="R77">
        <v>1.28</v>
      </c>
      <c r="S77">
        <f t="shared" si="14"/>
        <v>10.31</v>
      </c>
      <c r="T77">
        <v>2.895</v>
      </c>
      <c r="U77">
        <v>7.9459999999999997</v>
      </c>
      <c r="V77">
        <f t="shared" si="15"/>
        <v>13.205</v>
      </c>
      <c r="W77">
        <f t="shared" si="16"/>
        <v>-2.3640000000000008</v>
      </c>
      <c r="X77">
        <f t="shared" si="17"/>
        <v>4.1749999999999998</v>
      </c>
    </row>
    <row r="78" spans="1:24">
      <c r="A78">
        <v>1759</v>
      </c>
      <c r="B78">
        <v>256.60000000000002</v>
      </c>
      <c r="C78">
        <v>31.3</v>
      </c>
      <c r="D78">
        <f>B78+C78</f>
        <v>287.90000000000003</v>
      </c>
      <c r="G78">
        <v>1</v>
      </c>
      <c r="H78">
        <v>1.55301455301455</v>
      </c>
      <c r="M78">
        <v>5.74</v>
      </c>
      <c r="N78">
        <v>4.97</v>
      </c>
      <c r="O78">
        <v>0.73</v>
      </c>
      <c r="P78">
        <f t="shared" si="13"/>
        <v>11.440000000000001</v>
      </c>
      <c r="Q78">
        <v>263.12</v>
      </c>
      <c r="R78">
        <v>0.99</v>
      </c>
      <c r="S78">
        <f t="shared" si="14"/>
        <v>12.430000000000001</v>
      </c>
      <c r="T78">
        <v>2.9470000000000001</v>
      </c>
      <c r="U78">
        <v>8.1549999999999994</v>
      </c>
      <c r="V78">
        <f t="shared" si="15"/>
        <v>15.377000000000002</v>
      </c>
      <c r="W78">
        <f t="shared" si="16"/>
        <v>-4.2750000000000021</v>
      </c>
      <c r="X78">
        <f t="shared" si="17"/>
        <v>3.9370000000000003</v>
      </c>
    </row>
    <row r="79" spans="1:24">
      <c r="A79">
        <v>1760</v>
      </c>
      <c r="B79">
        <v>207.8</v>
      </c>
      <c r="C79">
        <v>24.8</v>
      </c>
      <c r="D79">
        <f>B79+C79</f>
        <v>232.60000000000002</v>
      </c>
      <c r="G79">
        <v>1</v>
      </c>
      <c r="H79">
        <v>1.55301455301455</v>
      </c>
      <c r="M79">
        <v>8.25</v>
      </c>
      <c r="N79">
        <v>4.54</v>
      </c>
      <c r="O79">
        <v>0.68</v>
      </c>
      <c r="P79">
        <f t="shared" si="13"/>
        <v>13.469999999999999</v>
      </c>
      <c r="Q79">
        <v>309.81</v>
      </c>
      <c r="R79">
        <v>1.1499999999999999</v>
      </c>
      <c r="S79">
        <f t="shared" si="14"/>
        <v>14.62</v>
      </c>
      <c r="T79">
        <v>3.3719999999999999</v>
      </c>
      <c r="U79">
        <v>9.2070000000000007</v>
      </c>
      <c r="V79">
        <f t="shared" si="15"/>
        <v>17.991999999999997</v>
      </c>
      <c r="W79">
        <f t="shared" si="16"/>
        <v>-5.4129999999999985</v>
      </c>
      <c r="X79">
        <f t="shared" si="17"/>
        <v>4.5220000000000002</v>
      </c>
    </row>
    <row r="80" spans="1:24">
      <c r="A80">
        <v>1761</v>
      </c>
      <c r="D80" s="13">
        <v>315</v>
      </c>
      <c r="G80">
        <v>1</v>
      </c>
      <c r="H80">
        <v>1.55301455301455</v>
      </c>
      <c r="M80">
        <v>9.92</v>
      </c>
      <c r="N80">
        <v>5.26</v>
      </c>
      <c r="O80">
        <v>0.85</v>
      </c>
      <c r="P80">
        <f t="shared" si="13"/>
        <v>16.03</v>
      </c>
      <c r="Q80">
        <v>368.69</v>
      </c>
      <c r="R80">
        <v>1.26</v>
      </c>
      <c r="S80">
        <f t="shared" si="14"/>
        <v>17.290000000000003</v>
      </c>
      <c r="T80">
        <v>3.823</v>
      </c>
      <c r="U80">
        <v>9.5939999999999994</v>
      </c>
      <c r="V80">
        <f t="shared" si="15"/>
        <v>21.113000000000003</v>
      </c>
      <c r="W80">
        <f t="shared" si="16"/>
        <v>-7.6960000000000033</v>
      </c>
      <c r="X80">
        <f t="shared" si="17"/>
        <v>5.0830000000000002</v>
      </c>
    </row>
    <row r="81" spans="1:24">
      <c r="A81">
        <v>1762</v>
      </c>
      <c r="B81">
        <v>159.1</v>
      </c>
      <c r="C81">
        <v>12.5</v>
      </c>
      <c r="D81">
        <f>B81+C81</f>
        <v>171.6</v>
      </c>
      <c r="G81">
        <v>1</v>
      </c>
      <c r="H81">
        <v>1.55301455301455</v>
      </c>
      <c r="M81">
        <v>8.7799999999999994</v>
      </c>
      <c r="N81">
        <v>4.8899999999999997</v>
      </c>
      <c r="O81">
        <v>0.75</v>
      </c>
      <c r="P81">
        <f t="shared" si="13"/>
        <v>14.419999999999998</v>
      </c>
      <c r="Q81">
        <v>331.66</v>
      </c>
      <c r="R81">
        <v>1.22</v>
      </c>
      <c r="S81">
        <f t="shared" si="14"/>
        <v>15.639999999999999</v>
      </c>
      <c r="T81">
        <v>4.4039999999999999</v>
      </c>
      <c r="U81">
        <v>9.4589999999999996</v>
      </c>
      <c r="V81">
        <f t="shared" si="15"/>
        <v>20.043999999999997</v>
      </c>
      <c r="W81">
        <f t="shared" si="16"/>
        <v>-6.1809999999999992</v>
      </c>
      <c r="X81">
        <f t="shared" si="17"/>
        <v>5.6239999999999997</v>
      </c>
    </row>
    <row r="82" spans="1:24">
      <c r="A82">
        <v>1763</v>
      </c>
      <c r="B82">
        <v>141</v>
      </c>
      <c r="C82">
        <v>24.5</v>
      </c>
      <c r="D82">
        <f>B82+C82</f>
        <v>165.5</v>
      </c>
      <c r="G82">
        <v>1</v>
      </c>
      <c r="H82">
        <v>1.55301455301455</v>
      </c>
      <c r="M82">
        <v>4.07</v>
      </c>
      <c r="N82">
        <v>7.46</v>
      </c>
      <c r="O82">
        <v>0.47</v>
      </c>
      <c r="P82">
        <f t="shared" si="13"/>
        <v>12.000000000000002</v>
      </c>
      <c r="Q82">
        <v>276</v>
      </c>
      <c r="R82">
        <v>1.06</v>
      </c>
      <c r="S82">
        <f t="shared" si="14"/>
        <v>13.060000000000002</v>
      </c>
      <c r="T82">
        <v>4.6660000000000004</v>
      </c>
      <c r="U82">
        <v>9.7929999999999993</v>
      </c>
      <c r="V82">
        <f t="shared" si="15"/>
        <v>17.726000000000003</v>
      </c>
      <c r="W82">
        <f t="shared" si="16"/>
        <v>-3.267000000000003</v>
      </c>
      <c r="X82">
        <f t="shared" si="17"/>
        <v>5.7260000000000009</v>
      </c>
    </row>
    <row r="83" spans="1:24">
      <c r="A83">
        <v>1764</v>
      </c>
      <c r="B83">
        <v>87</v>
      </c>
      <c r="C83">
        <v>10.8</v>
      </c>
      <c r="D83">
        <f>B83+C83</f>
        <v>97.8</v>
      </c>
      <c r="G83">
        <v>1</v>
      </c>
      <c r="H83">
        <v>1.55301455301455</v>
      </c>
      <c r="M83">
        <v>2.23</v>
      </c>
      <c r="N83">
        <v>2.15</v>
      </c>
      <c r="O83">
        <v>0.28000000000000003</v>
      </c>
      <c r="P83">
        <f t="shared" si="13"/>
        <v>4.66</v>
      </c>
      <c r="Q83">
        <v>107.18</v>
      </c>
      <c r="R83">
        <v>1.1399999999999999</v>
      </c>
      <c r="S83">
        <f t="shared" si="14"/>
        <v>5.8</v>
      </c>
      <c r="T83">
        <v>4.8869999999999996</v>
      </c>
      <c r="U83">
        <v>10.221</v>
      </c>
      <c r="V83">
        <f t="shared" si="15"/>
        <v>10.686999999999999</v>
      </c>
      <c r="W83">
        <f t="shared" si="16"/>
        <v>4.4210000000000003</v>
      </c>
      <c r="X83">
        <f t="shared" si="17"/>
        <v>6.0269999999999992</v>
      </c>
    </row>
    <row r="84" spans="1:24">
      <c r="A84">
        <v>1765</v>
      </c>
      <c r="G84">
        <v>1</v>
      </c>
      <c r="H84">
        <v>1.55301455301455</v>
      </c>
      <c r="M84">
        <v>2.7</v>
      </c>
      <c r="N84">
        <v>3.15</v>
      </c>
      <c r="O84">
        <v>0.28000000000000003</v>
      </c>
      <c r="P84">
        <f t="shared" si="13"/>
        <v>6.13</v>
      </c>
      <c r="Q84">
        <v>140.99</v>
      </c>
      <c r="R84">
        <v>1.05</v>
      </c>
      <c r="S84">
        <f t="shared" si="14"/>
        <v>7.18</v>
      </c>
      <c r="T84">
        <v>4.8280000000000003</v>
      </c>
      <c r="U84">
        <v>10.928000000000001</v>
      </c>
      <c r="V84">
        <f t="shared" si="15"/>
        <v>12.007999999999999</v>
      </c>
      <c r="W84">
        <f t="shared" si="16"/>
        <v>3.7480000000000011</v>
      </c>
      <c r="X84">
        <f t="shared" si="17"/>
        <v>5.8780000000000001</v>
      </c>
    </row>
    <row r="85" spans="1:24">
      <c r="A85">
        <v>1766</v>
      </c>
      <c r="G85">
        <v>1</v>
      </c>
      <c r="H85">
        <v>1.55301455301455</v>
      </c>
      <c r="M85">
        <v>1.82</v>
      </c>
      <c r="N85">
        <v>2.4700000000000002</v>
      </c>
      <c r="O85">
        <v>0.28000000000000003</v>
      </c>
      <c r="P85">
        <f t="shared" si="13"/>
        <v>4.57</v>
      </c>
      <c r="Q85">
        <v>105.11</v>
      </c>
      <c r="R85">
        <v>1.07</v>
      </c>
      <c r="S85">
        <f t="shared" si="14"/>
        <v>5.6400000000000006</v>
      </c>
      <c r="T85">
        <v>4.6859999999999999</v>
      </c>
      <c r="U85">
        <v>10.276</v>
      </c>
      <c r="V85">
        <f t="shared" si="15"/>
        <v>10.326000000000001</v>
      </c>
      <c r="W85">
        <f t="shared" si="16"/>
        <v>4.6359999999999992</v>
      </c>
      <c r="X85">
        <f t="shared" si="17"/>
        <v>5.7560000000000002</v>
      </c>
    </row>
    <row r="86" spans="1:24">
      <c r="A86">
        <v>1767</v>
      </c>
      <c r="G86">
        <v>1</v>
      </c>
      <c r="H86">
        <v>1.55301455301455</v>
      </c>
      <c r="M86">
        <v>1.7</v>
      </c>
      <c r="N86">
        <v>1.66</v>
      </c>
      <c r="O86">
        <v>0.24</v>
      </c>
      <c r="P86">
        <f t="shared" si="13"/>
        <v>3.5999999999999996</v>
      </c>
      <c r="Q86">
        <v>82.8</v>
      </c>
      <c r="R86">
        <v>1.02</v>
      </c>
      <c r="S86">
        <f t="shared" si="14"/>
        <v>4.6199999999999992</v>
      </c>
      <c r="T86">
        <v>5.0199999999999996</v>
      </c>
      <c r="U86">
        <v>9.8680000000000003</v>
      </c>
      <c r="V86">
        <f t="shared" si="15"/>
        <v>9.6399999999999988</v>
      </c>
      <c r="W86">
        <f t="shared" si="16"/>
        <v>5.2480000000000011</v>
      </c>
      <c r="X86">
        <f t="shared" si="17"/>
        <v>6.0399999999999991</v>
      </c>
    </row>
    <row r="87" spans="1:24">
      <c r="A87">
        <v>1768</v>
      </c>
      <c r="B87">
        <v>98.5</v>
      </c>
      <c r="C87">
        <v>11.8</v>
      </c>
      <c r="D87">
        <f>B87+C87</f>
        <v>110.3</v>
      </c>
      <c r="G87">
        <v>1</v>
      </c>
      <c r="H87">
        <v>1.55301455301455</v>
      </c>
      <c r="M87">
        <v>1.47</v>
      </c>
      <c r="N87">
        <v>1.43</v>
      </c>
      <c r="O87">
        <v>0.3</v>
      </c>
      <c r="P87">
        <f t="shared" si="13"/>
        <v>3.1999999999999997</v>
      </c>
      <c r="Q87">
        <v>73.599999999999994</v>
      </c>
      <c r="R87">
        <v>1.04</v>
      </c>
      <c r="S87">
        <f t="shared" si="14"/>
        <v>4.24</v>
      </c>
      <c r="T87">
        <v>4.9109999999999996</v>
      </c>
      <c r="U87">
        <v>10.131</v>
      </c>
      <c r="V87">
        <f t="shared" si="15"/>
        <v>9.1509999999999998</v>
      </c>
      <c r="W87">
        <f t="shared" si="16"/>
        <v>5.891</v>
      </c>
      <c r="X87">
        <f t="shared" si="17"/>
        <v>5.9509999999999996</v>
      </c>
    </row>
    <row r="88" spans="1:24">
      <c r="A88">
        <v>1769</v>
      </c>
      <c r="B88">
        <v>111.5</v>
      </c>
      <c r="C88">
        <v>6</v>
      </c>
      <c r="D88">
        <f>B88+C88</f>
        <v>117.5</v>
      </c>
      <c r="G88">
        <v>1</v>
      </c>
      <c r="H88">
        <v>1.55301455301455</v>
      </c>
      <c r="M88">
        <v>1.44</v>
      </c>
      <c r="N88">
        <v>1.53</v>
      </c>
      <c r="O88">
        <v>0.3</v>
      </c>
      <c r="P88">
        <f t="shared" si="13"/>
        <v>3.2699999999999996</v>
      </c>
      <c r="Q88">
        <v>75.209999999999994</v>
      </c>
      <c r="R88">
        <v>1.5</v>
      </c>
      <c r="S88">
        <f t="shared" si="14"/>
        <v>4.7699999999999996</v>
      </c>
      <c r="T88">
        <v>4.8029999999999999</v>
      </c>
      <c r="U88">
        <v>11.13</v>
      </c>
      <c r="V88">
        <f t="shared" si="15"/>
        <v>9.5730000000000004</v>
      </c>
      <c r="W88">
        <f t="shared" si="16"/>
        <v>6.3600000000000012</v>
      </c>
      <c r="X88">
        <f t="shared" si="17"/>
        <v>6.3029999999999999</v>
      </c>
    </row>
    <row r="89" spans="1:24">
      <c r="A89">
        <v>1770</v>
      </c>
      <c r="G89">
        <v>1</v>
      </c>
      <c r="H89">
        <v>1.55301455301455</v>
      </c>
      <c r="M89">
        <v>1.54</v>
      </c>
      <c r="N89">
        <v>2.08</v>
      </c>
      <c r="O89">
        <v>0.24</v>
      </c>
      <c r="P89">
        <f t="shared" si="13"/>
        <v>3.8600000000000003</v>
      </c>
      <c r="Q89">
        <v>88.78</v>
      </c>
      <c r="R89">
        <v>1.22</v>
      </c>
      <c r="S89">
        <f t="shared" si="14"/>
        <v>5.08</v>
      </c>
      <c r="T89">
        <v>4.8360000000000003</v>
      </c>
      <c r="U89">
        <v>11.372999999999999</v>
      </c>
      <c r="V89">
        <f t="shared" si="15"/>
        <v>9.9160000000000004</v>
      </c>
      <c r="W89">
        <f t="shared" si="16"/>
        <v>6.2929999999999993</v>
      </c>
      <c r="X89">
        <f t="shared" si="17"/>
        <v>6.056</v>
      </c>
    </row>
    <row r="90" spans="1:24">
      <c r="A90">
        <v>1771</v>
      </c>
      <c r="G90">
        <v>1</v>
      </c>
      <c r="H90">
        <v>1.55301455301455</v>
      </c>
      <c r="M90">
        <v>1.51</v>
      </c>
      <c r="N90">
        <v>2.06</v>
      </c>
      <c r="O90">
        <v>0.36</v>
      </c>
      <c r="P90">
        <f t="shared" si="13"/>
        <v>3.93</v>
      </c>
      <c r="Q90">
        <v>90.39</v>
      </c>
      <c r="R90">
        <v>1.06</v>
      </c>
      <c r="S90">
        <f t="shared" si="14"/>
        <v>4.99</v>
      </c>
      <c r="T90">
        <v>4.6109999999999998</v>
      </c>
      <c r="U90">
        <v>10.987</v>
      </c>
      <c r="V90">
        <f t="shared" si="15"/>
        <v>9.6009999999999991</v>
      </c>
      <c r="W90">
        <f t="shared" si="16"/>
        <v>5.9969999999999999</v>
      </c>
      <c r="X90">
        <f t="shared" si="17"/>
        <v>5.6709999999999994</v>
      </c>
    </row>
    <row r="91" spans="1:24">
      <c r="A91">
        <v>1772</v>
      </c>
      <c r="B91">
        <v>114</v>
      </c>
      <c r="C91">
        <v>8.8000000000000007</v>
      </c>
      <c r="D91">
        <f>B91+C91</f>
        <v>122.8</v>
      </c>
      <c r="G91">
        <v>1</v>
      </c>
      <c r="H91">
        <v>1.55301455301455</v>
      </c>
      <c r="M91">
        <v>1.5</v>
      </c>
      <c r="N91">
        <v>2.74</v>
      </c>
      <c r="O91">
        <v>0.33</v>
      </c>
      <c r="P91">
        <f t="shared" si="13"/>
        <v>4.57</v>
      </c>
      <c r="Q91">
        <v>105.11</v>
      </c>
      <c r="R91">
        <v>1.02</v>
      </c>
      <c r="S91">
        <f t="shared" si="14"/>
        <v>5.59</v>
      </c>
      <c r="T91">
        <v>4.6859999999999999</v>
      </c>
      <c r="U91">
        <v>11.032999999999999</v>
      </c>
      <c r="V91">
        <f t="shared" si="15"/>
        <v>10.276</v>
      </c>
      <c r="W91">
        <f t="shared" si="16"/>
        <v>5.4429999999999996</v>
      </c>
      <c r="X91">
        <f t="shared" si="17"/>
        <v>5.7059999999999995</v>
      </c>
    </row>
    <row r="92" spans="1:24">
      <c r="A92">
        <v>1773</v>
      </c>
      <c r="D92">
        <v>136.30000000000001</v>
      </c>
      <c r="G92">
        <v>1</v>
      </c>
      <c r="H92">
        <v>1.55301455301455</v>
      </c>
      <c r="M92">
        <v>1.58</v>
      </c>
      <c r="N92">
        <v>1.79</v>
      </c>
      <c r="O92">
        <v>0.33</v>
      </c>
      <c r="P92">
        <f t="shared" si="13"/>
        <v>3.7</v>
      </c>
      <c r="Q92">
        <v>85.1</v>
      </c>
      <c r="R92">
        <v>1.03</v>
      </c>
      <c r="S92">
        <f t="shared" si="14"/>
        <v>4.7300000000000004</v>
      </c>
      <c r="T92">
        <v>4.649</v>
      </c>
      <c r="U92">
        <v>10.487</v>
      </c>
      <c r="V92">
        <f t="shared" si="15"/>
        <v>9.3790000000000013</v>
      </c>
      <c r="W92">
        <f t="shared" si="16"/>
        <v>5.7569999999999997</v>
      </c>
      <c r="X92">
        <f t="shared" si="17"/>
        <v>5.6790000000000003</v>
      </c>
    </row>
    <row r="93" spans="1:24">
      <c r="A93">
        <v>1774</v>
      </c>
      <c r="D93">
        <v>133</v>
      </c>
      <c r="G93">
        <v>1</v>
      </c>
      <c r="H93">
        <v>1.55301455301455</v>
      </c>
      <c r="M93">
        <v>1.53</v>
      </c>
      <c r="N93">
        <v>2.0299999999999998</v>
      </c>
      <c r="O93">
        <v>0.3</v>
      </c>
      <c r="P93">
        <f t="shared" si="13"/>
        <v>3.8599999999999994</v>
      </c>
      <c r="Q93">
        <v>88.78</v>
      </c>
      <c r="R93">
        <v>1.1000000000000001</v>
      </c>
      <c r="S93">
        <f t="shared" si="14"/>
        <v>4.9599999999999991</v>
      </c>
      <c r="T93">
        <v>4.6120000000000001</v>
      </c>
      <c r="U93">
        <v>10.613</v>
      </c>
      <c r="V93">
        <f t="shared" si="15"/>
        <v>9.5719999999999992</v>
      </c>
      <c r="W93">
        <f t="shared" si="16"/>
        <v>5.6530000000000005</v>
      </c>
      <c r="X93">
        <f t="shared" si="17"/>
        <v>5.7119999999999997</v>
      </c>
    </row>
    <row r="94" spans="1:24">
      <c r="A94">
        <v>1775</v>
      </c>
      <c r="D94">
        <v>138.80000000000001</v>
      </c>
      <c r="G94">
        <v>1</v>
      </c>
      <c r="H94">
        <v>1.55301455301455</v>
      </c>
      <c r="M94">
        <v>1.77</v>
      </c>
      <c r="N94">
        <v>1.77</v>
      </c>
      <c r="O94">
        <v>0.35</v>
      </c>
      <c r="P94">
        <f t="shared" si="13"/>
        <v>3.89</v>
      </c>
      <c r="Q94">
        <v>89.47</v>
      </c>
      <c r="R94">
        <v>1.21</v>
      </c>
      <c r="S94">
        <f t="shared" si="14"/>
        <v>5.0999999999999996</v>
      </c>
      <c r="T94">
        <v>4.6740000000000004</v>
      </c>
      <c r="U94">
        <v>11.112</v>
      </c>
      <c r="V94">
        <f t="shared" si="15"/>
        <v>9.7740000000000009</v>
      </c>
      <c r="W94">
        <f t="shared" si="16"/>
        <v>6.0120000000000005</v>
      </c>
      <c r="X94">
        <f t="shared" si="17"/>
        <v>5.8840000000000003</v>
      </c>
    </row>
    <row r="95" spans="1:24">
      <c r="A95">
        <v>1776</v>
      </c>
      <c r="D95">
        <v>145.5</v>
      </c>
      <c r="G95">
        <v>1</v>
      </c>
      <c r="H95">
        <v>1.55301455301455</v>
      </c>
      <c r="M95">
        <v>4.25</v>
      </c>
      <c r="N95">
        <v>2.75</v>
      </c>
      <c r="O95">
        <v>0.55000000000000004</v>
      </c>
      <c r="P95">
        <f t="shared" si="13"/>
        <v>7.55</v>
      </c>
      <c r="Q95">
        <v>173.65</v>
      </c>
      <c r="R95">
        <v>1.27</v>
      </c>
      <c r="S95">
        <f t="shared" si="14"/>
        <v>8.82</v>
      </c>
      <c r="T95">
        <v>4.6319999999999997</v>
      </c>
      <c r="U95">
        <v>10.576000000000001</v>
      </c>
      <c r="V95">
        <f t="shared" si="15"/>
        <v>13.452</v>
      </c>
      <c r="W95">
        <f t="shared" si="16"/>
        <v>1.7560000000000002</v>
      </c>
      <c r="X95">
        <f t="shared" si="17"/>
        <v>5.9019999999999992</v>
      </c>
    </row>
    <row r="96" spans="1:24">
      <c r="A96">
        <v>1777</v>
      </c>
      <c r="D96">
        <v>151.69999999999999</v>
      </c>
      <c r="G96">
        <v>1</v>
      </c>
      <c r="H96">
        <v>1.55301455301455</v>
      </c>
      <c r="M96">
        <v>4.68</v>
      </c>
      <c r="N96">
        <v>3.53</v>
      </c>
      <c r="O96">
        <v>0.56999999999999995</v>
      </c>
      <c r="P96">
        <f t="shared" si="13"/>
        <v>8.7799999999999994</v>
      </c>
      <c r="Q96">
        <v>201.94</v>
      </c>
      <c r="R96">
        <v>1.77</v>
      </c>
      <c r="S96">
        <f t="shared" si="14"/>
        <v>10.549999999999999</v>
      </c>
      <c r="T96">
        <v>4.7089999999999996</v>
      </c>
      <c r="U96">
        <v>11.105</v>
      </c>
      <c r="V96">
        <f t="shared" si="15"/>
        <v>15.258999999999999</v>
      </c>
      <c r="W96">
        <f t="shared" si="16"/>
        <v>0.55500000000000149</v>
      </c>
      <c r="X96">
        <f t="shared" si="17"/>
        <v>6.4789999999999992</v>
      </c>
    </row>
    <row r="97" spans="1:24">
      <c r="A97">
        <v>1778</v>
      </c>
      <c r="D97">
        <v>194.5</v>
      </c>
      <c r="G97">
        <v>1</v>
      </c>
      <c r="H97">
        <v>1.55301455301455</v>
      </c>
      <c r="M97">
        <v>5.46</v>
      </c>
      <c r="N97">
        <v>4.5599999999999996</v>
      </c>
      <c r="O97">
        <v>0.96</v>
      </c>
      <c r="P97">
        <f t="shared" si="13"/>
        <v>10.98</v>
      </c>
      <c r="Q97">
        <v>252.54</v>
      </c>
      <c r="R97">
        <v>1.43</v>
      </c>
      <c r="S97">
        <f t="shared" si="14"/>
        <v>12.41</v>
      </c>
      <c r="T97">
        <v>5.03</v>
      </c>
      <c r="U97">
        <v>11.436</v>
      </c>
      <c r="V97">
        <f t="shared" si="15"/>
        <v>17.440000000000001</v>
      </c>
      <c r="W97">
        <f t="shared" si="16"/>
        <v>-0.9740000000000002</v>
      </c>
      <c r="X97">
        <f t="shared" si="17"/>
        <v>6.46</v>
      </c>
    </row>
    <row r="98" spans="1:24">
      <c r="A98">
        <v>1779</v>
      </c>
      <c r="D98">
        <v>240.6</v>
      </c>
      <c r="G98">
        <v>1</v>
      </c>
      <c r="H98">
        <v>1.55301455301455</v>
      </c>
      <c r="M98">
        <v>7.11</v>
      </c>
      <c r="N98">
        <v>4.2699999999999996</v>
      </c>
      <c r="O98">
        <v>1.07</v>
      </c>
      <c r="P98">
        <f t="shared" si="13"/>
        <v>12.45</v>
      </c>
      <c r="Q98">
        <v>286.35000000000002</v>
      </c>
      <c r="R98">
        <v>1.1599999999999999</v>
      </c>
      <c r="S98">
        <f t="shared" si="14"/>
        <v>13.61</v>
      </c>
      <c r="T98">
        <v>5.6180000000000003</v>
      </c>
      <c r="U98">
        <v>11.853</v>
      </c>
      <c r="V98">
        <f t="shared" si="15"/>
        <v>19.228000000000002</v>
      </c>
      <c r="W98">
        <f t="shared" si="16"/>
        <v>-1.7569999999999997</v>
      </c>
      <c r="X98">
        <f t="shared" si="17"/>
        <v>6.7780000000000005</v>
      </c>
    </row>
    <row r="99" spans="1:24">
      <c r="A99">
        <v>1780</v>
      </c>
      <c r="D99">
        <v>264</v>
      </c>
      <c r="G99">
        <v>1</v>
      </c>
      <c r="H99">
        <v>1.55301455301455</v>
      </c>
      <c r="M99">
        <v>7.21</v>
      </c>
      <c r="N99">
        <v>6.33</v>
      </c>
      <c r="O99">
        <v>1.33</v>
      </c>
      <c r="P99">
        <f t="shared" si="13"/>
        <v>14.87</v>
      </c>
      <c r="Q99">
        <v>342.01</v>
      </c>
      <c r="R99">
        <v>1.25</v>
      </c>
      <c r="S99">
        <f t="shared" si="14"/>
        <v>16.119999999999997</v>
      </c>
      <c r="T99">
        <v>5.9950000000000001</v>
      </c>
      <c r="U99">
        <v>12.523999999999999</v>
      </c>
      <c r="V99">
        <f t="shared" si="15"/>
        <v>22.114999999999998</v>
      </c>
      <c r="W99">
        <f t="shared" si="16"/>
        <v>-3.5959999999999983</v>
      </c>
      <c r="X99">
        <f t="shared" si="17"/>
        <v>7.2450000000000001</v>
      </c>
    </row>
    <row r="100" spans="1:24">
      <c r="A100">
        <v>1781</v>
      </c>
      <c r="D100">
        <v>264.39999999999998</v>
      </c>
      <c r="G100">
        <v>1</v>
      </c>
      <c r="H100">
        <v>1.55301455301455</v>
      </c>
      <c r="M100">
        <v>8.93</v>
      </c>
      <c r="N100">
        <v>6.6</v>
      </c>
      <c r="O100">
        <v>1.55</v>
      </c>
      <c r="P100">
        <f t="shared" si="13"/>
        <v>17.079999999999998</v>
      </c>
      <c r="Q100">
        <v>392.84</v>
      </c>
      <c r="R100">
        <v>1.35</v>
      </c>
      <c r="S100">
        <f t="shared" si="14"/>
        <v>18.43</v>
      </c>
      <c r="T100">
        <v>6.9169999999999998</v>
      </c>
      <c r="U100">
        <v>13.28</v>
      </c>
      <c r="V100">
        <f t="shared" si="15"/>
        <v>25.347000000000001</v>
      </c>
      <c r="W100">
        <f t="shared" si="16"/>
        <v>-5.15</v>
      </c>
      <c r="X100">
        <f t="shared" si="17"/>
        <v>8.2669999999999995</v>
      </c>
    </row>
    <row r="101" spans="1:24">
      <c r="A101">
        <v>1782</v>
      </c>
      <c r="D101">
        <v>321.10000000000002</v>
      </c>
      <c r="G101">
        <v>1</v>
      </c>
      <c r="H101">
        <v>1.55301455301455</v>
      </c>
      <c r="M101">
        <v>7.76</v>
      </c>
      <c r="N101">
        <v>10.81</v>
      </c>
      <c r="O101">
        <v>1.56</v>
      </c>
      <c r="P101">
        <f t="shared" si="13"/>
        <v>20.13</v>
      </c>
      <c r="Q101">
        <v>462.99</v>
      </c>
      <c r="R101">
        <v>1.26</v>
      </c>
      <c r="S101">
        <f t="shared" si="14"/>
        <v>21.39</v>
      </c>
      <c r="T101">
        <v>7.3639999999999999</v>
      </c>
      <c r="U101">
        <v>13.765000000000001</v>
      </c>
      <c r="V101">
        <f t="shared" si="15"/>
        <v>28.754000000000001</v>
      </c>
      <c r="W101">
        <f t="shared" si="16"/>
        <v>-7.625</v>
      </c>
      <c r="X101">
        <f t="shared" si="17"/>
        <v>8.6240000000000006</v>
      </c>
    </row>
    <row r="102" spans="1:24">
      <c r="A102">
        <v>1783</v>
      </c>
      <c r="D102">
        <v>248.5</v>
      </c>
      <c r="G102">
        <v>1</v>
      </c>
      <c r="H102">
        <v>1.55301455301455</v>
      </c>
      <c r="M102">
        <v>5.33</v>
      </c>
      <c r="N102">
        <v>7</v>
      </c>
      <c r="O102">
        <v>1.34</v>
      </c>
      <c r="P102">
        <f t="shared" si="13"/>
        <v>13.67</v>
      </c>
      <c r="Q102">
        <v>314.41000000000003</v>
      </c>
      <c r="R102">
        <v>1.38</v>
      </c>
      <c r="S102">
        <f t="shared" si="14"/>
        <v>15.05</v>
      </c>
      <c r="T102">
        <v>8.0540000000000003</v>
      </c>
      <c r="U102">
        <v>12.677</v>
      </c>
      <c r="V102">
        <f t="shared" si="15"/>
        <v>23.103999999999999</v>
      </c>
      <c r="W102">
        <f t="shared" si="16"/>
        <v>-2.3730000000000011</v>
      </c>
      <c r="X102">
        <f t="shared" si="17"/>
        <v>9.4340000000000011</v>
      </c>
    </row>
    <row r="103" spans="1:24">
      <c r="A103">
        <v>1784</v>
      </c>
      <c r="G103">
        <v>1</v>
      </c>
      <c r="H103">
        <v>1.55301455301455</v>
      </c>
      <c r="M103">
        <v>3.3</v>
      </c>
      <c r="N103">
        <v>9.4499999999999993</v>
      </c>
      <c r="O103">
        <v>1.01</v>
      </c>
      <c r="P103">
        <f t="shared" si="13"/>
        <v>13.76</v>
      </c>
      <c r="Q103">
        <v>316.48</v>
      </c>
      <c r="R103">
        <v>1.32</v>
      </c>
      <c r="S103">
        <f t="shared" si="14"/>
        <v>15.08</v>
      </c>
      <c r="T103">
        <v>8.6780000000000008</v>
      </c>
      <c r="U103">
        <v>13.214</v>
      </c>
      <c r="V103">
        <f t="shared" si="15"/>
        <v>23.758000000000003</v>
      </c>
      <c r="W103">
        <f t="shared" si="16"/>
        <v>-1.8659999999999997</v>
      </c>
      <c r="X103">
        <f t="shared" si="17"/>
        <v>9.9980000000000011</v>
      </c>
    </row>
    <row r="104" spans="1:24">
      <c r="A104">
        <v>1785</v>
      </c>
      <c r="D104">
        <v>179.3</v>
      </c>
      <c r="G104">
        <v>1</v>
      </c>
      <c r="H104">
        <v>1.55301455301455</v>
      </c>
      <c r="M104">
        <v>2.39</v>
      </c>
      <c r="N104">
        <v>11.85</v>
      </c>
      <c r="O104">
        <v>0.55000000000000004</v>
      </c>
      <c r="P104">
        <f t="shared" ref="P104:P109" si="18">SUM(M104:O104)</f>
        <v>14.790000000000001</v>
      </c>
      <c r="Q104">
        <v>340.17</v>
      </c>
      <c r="R104">
        <v>1.45</v>
      </c>
      <c r="S104">
        <f t="shared" ref="S104:S109" si="19">R104+P104</f>
        <v>16.240000000000002</v>
      </c>
      <c r="T104">
        <v>9.2289999999999992</v>
      </c>
      <c r="U104">
        <v>15.526999999999999</v>
      </c>
      <c r="V104">
        <f t="shared" ref="V104:V112" si="20">T104+S104</f>
        <v>25.469000000000001</v>
      </c>
      <c r="W104">
        <f t="shared" ref="W104:W109" si="21">U104-S104</f>
        <v>-0.71300000000000274</v>
      </c>
      <c r="X104">
        <f t="shared" ref="X104:X109" si="22">T104+R104</f>
        <v>10.678999999999998</v>
      </c>
    </row>
    <row r="105" spans="1:24">
      <c r="A105">
        <v>1786</v>
      </c>
      <c r="D105">
        <v>160.4</v>
      </c>
      <c r="G105">
        <v>1</v>
      </c>
      <c r="H105">
        <v>1.55301455301455</v>
      </c>
      <c r="M105">
        <v>1.98</v>
      </c>
      <c r="N105">
        <v>3.13</v>
      </c>
      <c r="O105">
        <v>0.37</v>
      </c>
      <c r="P105">
        <f t="shared" si="18"/>
        <v>5.4799999999999995</v>
      </c>
      <c r="Q105">
        <v>126.04</v>
      </c>
      <c r="R105">
        <v>1.51</v>
      </c>
      <c r="S105">
        <f t="shared" si="19"/>
        <v>6.9899999999999993</v>
      </c>
      <c r="T105">
        <v>9.4809999999999999</v>
      </c>
      <c r="U105">
        <v>15.246</v>
      </c>
      <c r="V105">
        <f t="shared" si="20"/>
        <v>16.471</v>
      </c>
      <c r="W105">
        <f t="shared" si="21"/>
        <v>8.2560000000000002</v>
      </c>
      <c r="X105">
        <f t="shared" si="22"/>
        <v>10.991</v>
      </c>
    </row>
    <row r="106" spans="1:24">
      <c r="A106">
        <v>1787</v>
      </c>
      <c r="D106">
        <v>170.2</v>
      </c>
      <c r="G106">
        <v>1</v>
      </c>
      <c r="H106">
        <v>1.55301455301455</v>
      </c>
      <c r="M106">
        <v>1.8</v>
      </c>
      <c r="N106">
        <v>1.99</v>
      </c>
      <c r="O106">
        <v>0.38</v>
      </c>
      <c r="P106">
        <f t="shared" si="18"/>
        <v>4.17</v>
      </c>
      <c r="Q106">
        <v>95.91</v>
      </c>
      <c r="R106">
        <v>1.51</v>
      </c>
      <c r="S106">
        <f t="shared" si="19"/>
        <v>5.68</v>
      </c>
      <c r="T106">
        <v>9.2919999999999998</v>
      </c>
      <c r="U106">
        <v>16.452999999999999</v>
      </c>
      <c r="V106">
        <f t="shared" si="20"/>
        <v>14.972</v>
      </c>
      <c r="W106">
        <f t="shared" si="21"/>
        <v>10.773</v>
      </c>
      <c r="X106">
        <f t="shared" si="22"/>
        <v>10.802</v>
      </c>
    </row>
    <row r="107" spans="1:24">
      <c r="A107">
        <v>1788</v>
      </c>
      <c r="D107">
        <v>174.2</v>
      </c>
      <c r="G107">
        <v>1</v>
      </c>
      <c r="H107">
        <v>1.55301455301455</v>
      </c>
      <c r="M107">
        <v>2.1</v>
      </c>
      <c r="N107">
        <v>2.2599999999999998</v>
      </c>
      <c r="O107">
        <v>0.55000000000000004</v>
      </c>
      <c r="P107">
        <f t="shared" si="18"/>
        <v>4.9099999999999993</v>
      </c>
      <c r="Q107">
        <v>112.93</v>
      </c>
      <c r="R107">
        <v>1.52</v>
      </c>
      <c r="S107">
        <f t="shared" si="19"/>
        <v>6.43</v>
      </c>
      <c r="T107">
        <v>9.407</v>
      </c>
      <c r="U107">
        <v>16.779</v>
      </c>
      <c r="V107">
        <f t="shared" si="20"/>
        <v>15.837</v>
      </c>
      <c r="W107">
        <f t="shared" si="21"/>
        <v>10.349</v>
      </c>
      <c r="X107">
        <f t="shared" si="22"/>
        <v>10.927</v>
      </c>
    </row>
    <row r="108" spans="1:24">
      <c r="A108">
        <v>1789</v>
      </c>
      <c r="D108">
        <v>146.9</v>
      </c>
      <c r="G108">
        <v>1</v>
      </c>
      <c r="H108">
        <v>1.55301455301455</v>
      </c>
      <c r="M108">
        <v>1.9</v>
      </c>
      <c r="N108">
        <v>2.0699999999999998</v>
      </c>
      <c r="O108">
        <v>0.48</v>
      </c>
      <c r="P108">
        <f t="shared" si="18"/>
        <v>4.4499999999999993</v>
      </c>
      <c r="Q108">
        <v>102.35</v>
      </c>
      <c r="R108">
        <v>1.66</v>
      </c>
      <c r="S108">
        <f t="shared" si="19"/>
        <v>6.1099999999999994</v>
      </c>
      <c r="T108">
        <v>9.4250000000000007</v>
      </c>
      <c r="U108">
        <v>16.669</v>
      </c>
      <c r="V108">
        <f t="shared" si="20"/>
        <v>15.535</v>
      </c>
      <c r="W108">
        <f t="shared" si="21"/>
        <v>10.559000000000001</v>
      </c>
      <c r="X108">
        <f t="shared" si="22"/>
        <v>11.085000000000001</v>
      </c>
    </row>
    <row r="109" spans="1:24">
      <c r="A109">
        <v>1790</v>
      </c>
      <c r="M109">
        <v>2.2000000000000002</v>
      </c>
      <c r="N109">
        <v>2.48</v>
      </c>
      <c r="O109">
        <v>0.54</v>
      </c>
      <c r="P109">
        <f t="shared" si="18"/>
        <v>5.22</v>
      </c>
      <c r="Q109">
        <v>120.06</v>
      </c>
      <c r="R109">
        <v>1.7</v>
      </c>
      <c r="S109">
        <f t="shared" si="19"/>
        <v>6.92</v>
      </c>
      <c r="T109">
        <v>9.3699999999999992</v>
      </c>
      <c r="U109">
        <v>17.013999999999999</v>
      </c>
      <c r="V109">
        <f t="shared" si="20"/>
        <v>16.29</v>
      </c>
      <c r="W109">
        <f t="shared" si="21"/>
        <v>10.093999999999999</v>
      </c>
      <c r="X109">
        <f t="shared" si="22"/>
        <v>11.069999999999999</v>
      </c>
    </row>
    <row r="110" spans="1:24">
      <c r="T110">
        <v>9.43</v>
      </c>
      <c r="U110">
        <v>18.506</v>
      </c>
      <c r="V110">
        <f t="shared" si="20"/>
        <v>9.43</v>
      </c>
    </row>
    <row r="111" spans="1:24">
      <c r="T111">
        <v>9.31</v>
      </c>
      <c r="U111">
        <v>18.606999999999999</v>
      </c>
      <c r="V111">
        <f t="shared" si="20"/>
        <v>9.31</v>
      </c>
    </row>
    <row r="112" spans="1:24">
      <c r="T112">
        <v>9.1489999999999991</v>
      </c>
      <c r="U112">
        <v>18.131</v>
      </c>
      <c r="V112">
        <f t="shared" si="20"/>
        <v>9.1489999999999991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E104"/>
  <sheetViews>
    <sheetView workbookViewId="0"/>
  </sheetViews>
  <sheetFormatPr defaultRowHeight="12.75"/>
  <sheetData>
    <row r="3" spans="1:5">
      <c r="A3" t="s">
        <v>166</v>
      </c>
    </row>
    <row r="4" spans="1:5">
      <c r="A4">
        <v>0</v>
      </c>
      <c r="B4">
        <v>1</v>
      </c>
      <c r="C4">
        <v>1</v>
      </c>
      <c r="D4">
        <v>1</v>
      </c>
      <c r="E4">
        <v>1</v>
      </c>
    </row>
    <row r="5" spans="1:5">
      <c r="A5">
        <v>1</v>
      </c>
      <c r="B5">
        <v>0.86419999999999997</v>
      </c>
      <c r="C5">
        <v>0.86419999999999997</v>
      </c>
      <c r="D5">
        <v>0.74060000000000004</v>
      </c>
      <c r="E5">
        <v>0.84489999999999998</v>
      </c>
    </row>
    <row r="6" spans="1:5">
      <c r="A6">
        <v>2</v>
      </c>
      <c r="B6">
        <v>0.81579999999999997</v>
      </c>
      <c r="C6">
        <v>0.81579999999999997</v>
      </c>
      <c r="D6">
        <v>0.67</v>
      </c>
      <c r="E6">
        <v>0.79479999999999995</v>
      </c>
    </row>
    <row r="7" spans="1:5">
      <c r="A7">
        <v>3</v>
      </c>
      <c r="B7">
        <v>0.78949999999999998</v>
      </c>
      <c r="C7">
        <v>0.78949999999999998</v>
      </c>
      <c r="D7">
        <v>0.63109999999999999</v>
      </c>
      <c r="E7">
        <v>0.76749999999999996</v>
      </c>
    </row>
    <row r="8" spans="1:5">
      <c r="A8">
        <v>4</v>
      </c>
      <c r="B8">
        <v>0.77259999999999995</v>
      </c>
      <c r="C8">
        <v>0.77259999999999995</v>
      </c>
      <c r="D8">
        <v>0.60870000000000002</v>
      </c>
      <c r="E8">
        <v>0.75009999999999999</v>
      </c>
    </row>
    <row r="9" spans="1:5">
      <c r="A9">
        <v>5</v>
      </c>
      <c r="B9">
        <v>0.76080000000000003</v>
      </c>
      <c r="C9">
        <v>0.76080000000000003</v>
      </c>
      <c r="D9">
        <v>0.59760000000000002</v>
      </c>
      <c r="E9">
        <v>0.7379</v>
      </c>
    </row>
    <row r="10" spans="1:5">
      <c r="A10">
        <v>6</v>
      </c>
      <c r="B10">
        <v>0.75139999999999996</v>
      </c>
      <c r="C10">
        <v>0.75319999999999998</v>
      </c>
      <c r="D10">
        <v>0.58309999999999995</v>
      </c>
      <c r="E10">
        <v>0.72609999999999997</v>
      </c>
    </row>
    <row r="11" spans="1:5">
      <c r="A11">
        <v>7</v>
      </c>
      <c r="B11">
        <v>0.74399999999999999</v>
      </c>
      <c r="C11">
        <v>0.74650000000000005</v>
      </c>
      <c r="D11">
        <v>0.57350000000000001</v>
      </c>
      <c r="E11">
        <v>0.71699999999999997</v>
      </c>
    </row>
    <row r="12" spans="1:5">
      <c r="A12">
        <v>8</v>
      </c>
      <c r="B12">
        <v>0.73809999999999998</v>
      </c>
      <c r="C12">
        <v>0.74080000000000001</v>
      </c>
      <c r="D12">
        <v>0.56630000000000003</v>
      </c>
      <c r="E12">
        <v>0.70960000000000001</v>
      </c>
    </row>
    <row r="13" spans="1:5">
      <c r="A13">
        <v>9</v>
      </c>
      <c r="B13">
        <v>0.73319999999999996</v>
      </c>
      <c r="C13">
        <v>0.73650000000000004</v>
      </c>
      <c r="D13">
        <v>0.56100000000000005</v>
      </c>
      <c r="E13">
        <v>0.70350000000000001</v>
      </c>
    </row>
    <row r="14" spans="1:5">
      <c r="A14">
        <v>10</v>
      </c>
      <c r="B14">
        <v>0.72899999999999998</v>
      </c>
      <c r="C14">
        <v>0.73219999999999996</v>
      </c>
      <c r="D14">
        <v>0.55669999999999997</v>
      </c>
      <c r="E14">
        <v>0.69820000000000004</v>
      </c>
    </row>
    <row r="15" spans="1:5">
      <c r="A15">
        <v>11</v>
      </c>
      <c r="B15">
        <v>0.72550000000000003</v>
      </c>
      <c r="C15">
        <v>0.72799999999999998</v>
      </c>
      <c r="D15">
        <v>0.55210000000000004</v>
      </c>
      <c r="E15">
        <v>0.69410000000000005</v>
      </c>
    </row>
    <row r="16" spans="1:5">
      <c r="A16">
        <v>12</v>
      </c>
      <c r="B16">
        <v>0.72230000000000005</v>
      </c>
      <c r="C16">
        <v>0.72550000000000003</v>
      </c>
      <c r="D16">
        <v>0.54759999999999998</v>
      </c>
      <c r="E16">
        <v>0.69020000000000004</v>
      </c>
    </row>
    <row r="17" spans="1:5">
      <c r="A17">
        <v>13</v>
      </c>
      <c r="B17">
        <v>0.71909999999999996</v>
      </c>
      <c r="C17">
        <v>0.72219999999999995</v>
      </c>
      <c r="D17">
        <v>0.54300000000000004</v>
      </c>
      <c r="E17">
        <v>0.68640000000000001</v>
      </c>
    </row>
    <row r="18" spans="1:5">
      <c r="A18">
        <v>14</v>
      </c>
      <c r="B18">
        <v>0.71579999999999999</v>
      </c>
      <c r="C18">
        <v>0.71830000000000005</v>
      </c>
      <c r="D18">
        <v>0.53839999999999999</v>
      </c>
      <c r="E18">
        <v>0.6825</v>
      </c>
    </row>
    <row r="19" spans="1:5">
      <c r="A19">
        <v>15</v>
      </c>
      <c r="B19">
        <v>0.71220000000000006</v>
      </c>
      <c r="C19">
        <v>0.71279999999999999</v>
      </c>
      <c r="D19">
        <v>0.53390000000000004</v>
      </c>
      <c r="E19">
        <v>0.67830000000000001</v>
      </c>
    </row>
    <row r="20" spans="1:5">
      <c r="A20">
        <v>16</v>
      </c>
      <c r="B20">
        <v>0.70879999999999999</v>
      </c>
      <c r="C20">
        <v>0.70809999999999995</v>
      </c>
      <c r="D20">
        <v>0.52869999999999995</v>
      </c>
      <c r="E20">
        <v>0.6734</v>
      </c>
    </row>
    <row r="21" spans="1:5">
      <c r="A21">
        <v>17</v>
      </c>
      <c r="B21">
        <v>0.70509999999999995</v>
      </c>
      <c r="C21">
        <v>0.70340000000000003</v>
      </c>
      <c r="D21">
        <v>0.52359999999999995</v>
      </c>
      <c r="E21">
        <v>0.66820000000000002</v>
      </c>
    </row>
    <row r="22" spans="1:5">
      <c r="A22">
        <v>18</v>
      </c>
      <c r="B22">
        <v>0.70099999999999996</v>
      </c>
      <c r="C22">
        <v>0.69769999999999999</v>
      </c>
      <c r="D22">
        <v>0.51839999999999997</v>
      </c>
      <c r="E22">
        <v>0.66279999999999994</v>
      </c>
    </row>
    <row r="23" spans="1:5">
      <c r="A23">
        <v>19</v>
      </c>
      <c r="B23">
        <v>0.69650000000000001</v>
      </c>
      <c r="C23">
        <v>0.68910000000000005</v>
      </c>
      <c r="D23">
        <v>0.51319999999999999</v>
      </c>
      <c r="E23">
        <v>0.65710000000000002</v>
      </c>
    </row>
    <row r="24" spans="1:5">
      <c r="A24">
        <v>20</v>
      </c>
      <c r="B24">
        <v>0.6915</v>
      </c>
      <c r="C24">
        <v>0.68169999999999997</v>
      </c>
      <c r="D24">
        <v>0.5081</v>
      </c>
      <c r="E24">
        <v>0.65110000000000001</v>
      </c>
    </row>
    <row r="25" spans="1:5">
      <c r="A25">
        <v>21</v>
      </c>
      <c r="B25">
        <v>0.68659999999999999</v>
      </c>
      <c r="C25">
        <v>0.67410000000000003</v>
      </c>
      <c r="D25">
        <v>0.50170000000000003</v>
      </c>
      <c r="E25">
        <v>0.64500000000000002</v>
      </c>
    </row>
    <row r="26" spans="1:5">
      <c r="A26">
        <v>22</v>
      </c>
      <c r="B26">
        <v>0.68130000000000002</v>
      </c>
      <c r="C26">
        <v>0.66700000000000004</v>
      </c>
      <c r="D26">
        <v>0.49540000000000001</v>
      </c>
      <c r="E26">
        <v>0.63870000000000005</v>
      </c>
    </row>
    <row r="27" spans="1:5">
      <c r="A27">
        <v>23</v>
      </c>
      <c r="B27">
        <v>0.67569999999999997</v>
      </c>
      <c r="C27">
        <v>0.65990000000000004</v>
      </c>
      <c r="D27">
        <v>0.48899999999999999</v>
      </c>
      <c r="E27">
        <v>0.63229999999999997</v>
      </c>
    </row>
    <row r="28" spans="1:5">
      <c r="A28">
        <v>24</v>
      </c>
      <c r="B28">
        <v>0.67</v>
      </c>
      <c r="C28">
        <v>0.65210000000000001</v>
      </c>
      <c r="D28">
        <v>0.48259999999999997</v>
      </c>
      <c r="E28">
        <v>0.62580000000000002</v>
      </c>
    </row>
    <row r="29" spans="1:5">
      <c r="A29">
        <v>25</v>
      </c>
      <c r="B29">
        <v>0.66400000000000003</v>
      </c>
      <c r="C29">
        <v>0.64510000000000001</v>
      </c>
      <c r="D29">
        <v>0.4763</v>
      </c>
      <c r="E29">
        <v>0.61929999999999996</v>
      </c>
    </row>
    <row r="30" spans="1:5">
      <c r="A30">
        <v>26</v>
      </c>
      <c r="B30">
        <v>0.6583</v>
      </c>
      <c r="C30">
        <v>0.63900000000000001</v>
      </c>
      <c r="D30">
        <v>0.46960000000000002</v>
      </c>
      <c r="E30">
        <v>0.6129</v>
      </c>
    </row>
    <row r="31" spans="1:5">
      <c r="A31">
        <v>27</v>
      </c>
      <c r="B31">
        <v>0.65249999999999997</v>
      </c>
      <c r="C31">
        <v>0.63400000000000001</v>
      </c>
      <c r="D31">
        <v>0.46300000000000002</v>
      </c>
      <c r="E31">
        <v>0.60650000000000004</v>
      </c>
    </row>
    <row r="32" spans="1:5">
      <c r="A32">
        <v>28</v>
      </c>
      <c r="B32">
        <v>0.64659999999999995</v>
      </c>
      <c r="C32">
        <v>0.62649999999999995</v>
      </c>
      <c r="D32">
        <v>0.45639999999999997</v>
      </c>
      <c r="E32">
        <v>0.60019999999999996</v>
      </c>
    </row>
    <row r="33" spans="1:5">
      <c r="A33">
        <v>29</v>
      </c>
      <c r="B33">
        <v>0.64080000000000004</v>
      </c>
      <c r="C33">
        <v>0.61970000000000003</v>
      </c>
      <c r="D33">
        <v>0.44969999999999999</v>
      </c>
      <c r="E33">
        <v>0.59389999999999998</v>
      </c>
    </row>
    <row r="34" spans="1:5">
      <c r="A34">
        <v>30</v>
      </c>
      <c r="B34">
        <v>0.63490000000000002</v>
      </c>
      <c r="C34">
        <v>0.6139</v>
      </c>
      <c r="D34">
        <v>0.44309999999999999</v>
      </c>
      <c r="E34">
        <v>0.58779999999999999</v>
      </c>
    </row>
    <row r="35" spans="1:5">
      <c r="A35">
        <v>31</v>
      </c>
      <c r="B35">
        <v>0.62870000000000004</v>
      </c>
      <c r="C35">
        <v>0.60770000000000002</v>
      </c>
      <c r="D35">
        <v>0.43609999999999999</v>
      </c>
      <c r="E35">
        <v>0.58179999999999998</v>
      </c>
    </row>
    <row r="36" spans="1:5">
      <c r="A36">
        <v>32</v>
      </c>
      <c r="B36">
        <v>0.62260000000000004</v>
      </c>
      <c r="C36">
        <v>0.60199999999999998</v>
      </c>
      <c r="D36">
        <v>0.42920000000000003</v>
      </c>
      <c r="E36">
        <v>0.57599999999999996</v>
      </c>
    </row>
    <row r="37" spans="1:5">
      <c r="A37">
        <v>33</v>
      </c>
      <c r="B37">
        <v>0.61650000000000005</v>
      </c>
      <c r="C37">
        <v>0.59530000000000005</v>
      </c>
      <c r="D37">
        <v>0.42220000000000002</v>
      </c>
      <c r="E37">
        <v>0.57020000000000004</v>
      </c>
    </row>
    <row r="38" spans="1:5">
      <c r="A38">
        <v>34</v>
      </c>
      <c r="B38">
        <v>0.61050000000000004</v>
      </c>
      <c r="C38">
        <v>0.58879999999999999</v>
      </c>
      <c r="D38">
        <v>0.41520000000000001</v>
      </c>
      <c r="E38">
        <v>0.5645</v>
      </c>
    </row>
    <row r="39" spans="1:5">
      <c r="A39">
        <v>35</v>
      </c>
      <c r="B39">
        <v>0.60450000000000004</v>
      </c>
      <c r="C39">
        <v>0.58309999999999995</v>
      </c>
      <c r="D39">
        <v>0.4083</v>
      </c>
      <c r="E39">
        <v>0.55879999999999996</v>
      </c>
    </row>
    <row r="40" spans="1:5">
      <c r="A40">
        <v>36</v>
      </c>
      <c r="B40">
        <v>0.59799999999999998</v>
      </c>
      <c r="C40">
        <v>0.57769999999999999</v>
      </c>
      <c r="D40">
        <v>0.40100000000000002</v>
      </c>
      <c r="E40">
        <v>0.55330000000000001</v>
      </c>
    </row>
    <row r="41" spans="1:5">
      <c r="A41">
        <v>37</v>
      </c>
      <c r="B41">
        <v>0.59160000000000001</v>
      </c>
      <c r="C41">
        <v>0.57250000000000001</v>
      </c>
      <c r="D41">
        <v>0.39369999999999999</v>
      </c>
      <c r="E41">
        <v>0.54769999999999996</v>
      </c>
    </row>
    <row r="42" spans="1:5">
      <c r="A42">
        <v>38</v>
      </c>
      <c r="B42">
        <v>0.58509999999999995</v>
      </c>
      <c r="C42">
        <v>0.56579999999999997</v>
      </c>
      <c r="D42">
        <v>0.38640000000000002</v>
      </c>
      <c r="E42">
        <v>0.54220000000000002</v>
      </c>
    </row>
    <row r="43" spans="1:5">
      <c r="A43">
        <v>39</v>
      </c>
      <c r="B43">
        <v>0.57869999999999999</v>
      </c>
      <c r="C43">
        <v>0.55930000000000002</v>
      </c>
      <c r="D43">
        <v>0.37909999999999999</v>
      </c>
      <c r="E43">
        <v>0.53669999999999995</v>
      </c>
    </row>
    <row r="44" spans="1:5">
      <c r="A44">
        <v>40</v>
      </c>
      <c r="B44">
        <v>0.57220000000000004</v>
      </c>
      <c r="C44">
        <v>0.5524</v>
      </c>
      <c r="D44">
        <v>0.37180000000000002</v>
      </c>
      <c r="E44">
        <v>0.53120000000000001</v>
      </c>
    </row>
    <row r="45" spans="1:5">
      <c r="A45">
        <v>41</v>
      </c>
      <c r="B45">
        <v>0.56530000000000002</v>
      </c>
      <c r="C45">
        <v>0.54500000000000004</v>
      </c>
      <c r="D45">
        <v>0.36430000000000001</v>
      </c>
      <c r="E45">
        <v>0.52559999999999996</v>
      </c>
    </row>
    <row r="46" spans="1:5">
      <c r="A46">
        <v>42</v>
      </c>
      <c r="B46">
        <v>0.55840000000000001</v>
      </c>
      <c r="C46">
        <v>0.54020000000000001</v>
      </c>
      <c r="D46">
        <v>0.35670000000000002</v>
      </c>
      <c r="E46">
        <v>0.52</v>
      </c>
    </row>
    <row r="47" spans="1:5">
      <c r="A47">
        <v>43</v>
      </c>
      <c r="B47">
        <v>0.5514</v>
      </c>
      <c r="C47">
        <v>0.53280000000000005</v>
      </c>
      <c r="D47">
        <v>0.34920000000000001</v>
      </c>
      <c r="E47">
        <v>0.51429999999999998</v>
      </c>
    </row>
    <row r="48" spans="1:5">
      <c r="A48">
        <v>44</v>
      </c>
      <c r="B48">
        <v>0.54420000000000002</v>
      </c>
      <c r="C48">
        <v>0.52490000000000003</v>
      </c>
      <c r="D48">
        <v>0.34160000000000001</v>
      </c>
      <c r="E48">
        <v>0.50839999999999996</v>
      </c>
    </row>
    <row r="49" spans="1:5">
      <c r="A49">
        <v>45</v>
      </c>
      <c r="B49">
        <v>0.53690000000000004</v>
      </c>
      <c r="C49">
        <v>0.52</v>
      </c>
      <c r="D49">
        <v>0.33410000000000001</v>
      </c>
      <c r="E49">
        <v>0.50249999999999995</v>
      </c>
    </row>
    <row r="50" spans="1:5">
      <c r="A50">
        <v>46</v>
      </c>
      <c r="B50">
        <v>0.52980000000000005</v>
      </c>
      <c r="C50">
        <v>0.51290000000000002</v>
      </c>
      <c r="D50">
        <v>0.32650000000000001</v>
      </c>
      <c r="E50">
        <v>0.49640000000000001</v>
      </c>
    </row>
    <row r="51" spans="1:5">
      <c r="A51">
        <v>47</v>
      </c>
      <c r="B51">
        <v>0.52249999999999996</v>
      </c>
      <c r="C51">
        <v>0.50719999999999998</v>
      </c>
      <c r="D51">
        <v>0.31890000000000002</v>
      </c>
      <c r="E51">
        <v>0.49009999999999998</v>
      </c>
    </row>
    <row r="52" spans="1:5">
      <c r="A52">
        <v>48</v>
      </c>
      <c r="B52">
        <v>0.51490000000000002</v>
      </c>
      <c r="C52">
        <v>0.50129999999999997</v>
      </c>
      <c r="D52">
        <v>0.31130000000000002</v>
      </c>
      <c r="E52">
        <v>0.48359999999999997</v>
      </c>
    </row>
    <row r="53" spans="1:5">
      <c r="A53">
        <v>49</v>
      </c>
      <c r="B53">
        <v>0.5071</v>
      </c>
      <c r="C53">
        <v>0.49399999999999999</v>
      </c>
      <c r="D53">
        <v>0.30370000000000003</v>
      </c>
      <c r="E53">
        <v>0.47689999999999999</v>
      </c>
    </row>
    <row r="54" spans="1:5">
      <c r="A54">
        <v>50</v>
      </c>
      <c r="B54">
        <v>0.499</v>
      </c>
      <c r="C54">
        <v>0.48780000000000001</v>
      </c>
      <c r="D54">
        <v>0.29609999999999997</v>
      </c>
      <c r="E54">
        <v>0.47</v>
      </c>
    </row>
    <row r="55" spans="1:5">
      <c r="A55">
        <v>51</v>
      </c>
      <c r="B55">
        <v>0.4909</v>
      </c>
      <c r="C55">
        <v>0.47960000000000003</v>
      </c>
      <c r="D55">
        <v>0.2878</v>
      </c>
      <c r="E55">
        <v>0.46279999999999999</v>
      </c>
    </row>
    <row r="56" spans="1:5">
      <c r="A56">
        <v>52</v>
      </c>
      <c r="B56">
        <v>0.48259999999999997</v>
      </c>
      <c r="C56">
        <v>0.47189999999999999</v>
      </c>
      <c r="D56">
        <v>0.27950000000000003</v>
      </c>
      <c r="E56">
        <v>0.45529999999999998</v>
      </c>
    </row>
    <row r="57" spans="1:5">
      <c r="A57">
        <v>53</v>
      </c>
      <c r="B57">
        <v>0.4738</v>
      </c>
      <c r="C57">
        <v>0.4637</v>
      </c>
      <c r="D57">
        <v>0.2712</v>
      </c>
      <c r="E57">
        <v>0.44750000000000001</v>
      </c>
    </row>
    <row r="58" spans="1:5">
      <c r="A58">
        <v>54</v>
      </c>
      <c r="B58">
        <v>0.46479999999999999</v>
      </c>
      <c r="C58">
        <v>0.45590000000000003</v>
      </c>
      <c r="D58">
        <v>0.26290000000000002</v>
      </c>
      <c r="E58">
        <v>0.43940000000000001</v>
      </c>
    </row>
    <row r="59" spans="1:5">
      <c r="A59">
        <v>55</v>
      </c>
      <c r="B59">
        <v>0.45529999999999998</v>
      </c>
      <c r="C59">
        <v>0.44669999999999999</v>
      </c>
      <c r="D59">
        <v>0.25459999999999999</v>
      </c>
      <c r="E59">
        <v>0.43090000000000001</v>
      </c>
    </row>
    <row r="60" spans="1:5">
      <c r="A60">
        <v>56</v>
      </c>
      <c r="B60">
        <v>0.44569999999999999</v>
      </c>
      <c r="C60">
        <v>0.43730000000000002</v>
      </c>
      <c r="D60">
        <v>0.24560000000000001</v>
      </c>
      <c r="E60">
        <v>0.42209999999999998</v>
      </c>
    </row>
    <row r="61" spans="1:5">
      <c r="A61">
        <v>57</v>
      </c>
      <c r="B61">
        <v>0.43559999999999999</v>
      </c>
      <c r="C61">
        <v>0.42709999999999998</v>
      </c>
      <c r="D61">
        <v>0.23649999999999999</v>
      </c>
      <c r="E61">
        <v>0.41289999999999999</v>
      </c>
    </row>
    <row r="62" spans="1:5">
      <c r="A62">
        <v>58</v>
      </c>
      <c r="B62">
        <v>0.42520000000000002</v>
      </c>
      <c r="C62">
        <v>0.41820000000000002</v>
      </c>
      <c r="D62">
        <v>0.22750000000000001</v>
      </c>
      <c r="E62">
        <v>0.40329999999999999</v>
      </c>
    </row>
    <row r="63" spans="1:5">
      <c r="A63">
        <v>59</v>
      </c>
      <c r="B63">
        <v>0.41439999999999999</v>
      </c>
      <c r="C63">
        <v>0.40910000000000002</v>
      </c>
      <c r="D63">
        <v>0.2185</v>
      </c>
      <c r="E63">
        <v>0.39329999999999998</v>
      </c>
    </row>
    <row r="64" spans="1:5">
      <c r="A64">
        <v>60</v>
      </c>
      <c r="B64">
        <v>0.40310000000000001</v>
      </c>
      <c r="C64">
        <v>0.39900000000000002</v>
      </c>
      <c r="D64">
        <v>0.20949999999999999</v>
      </c>
      <c r="E64">
        <v>0.38279999999999997</v>
      </c>
    </row>
    <row r="65" spans="1:5">
      <c r="A65">
        <v>61</v>
      </c>
      <c r="B65">
        <v>0.39100000000000001</v>
      </c>
      <c r="C65">
        <v>0.38919999999999999</v>
      </c>
      <c r="D65">
        <v>0.19939999999999999</v>
      </c>
      <c r="E65">
        <v>0.37190000000000001</v>
      </c>
    </row>
    <row r="66" spans="1:5">
      <c r="A66">
        <v>62</v>
      </c>
      <c r="B66">
        <v>0.37859999999999999</v>
      </c>
      <c r="C66">
        <v>0.3785</v>
      </c>
      <c r="D66">
        <v>0.1893</v>
      </c>
      <c r="E66">
        <v>0.36059999999999998</v>
      </c>
    </row>
    <row r="67" spans="1:5">
      <c r="A67">
        <v>63</v>
      </c>
      <c r="B67">
        <v>0.36570000000000003</v>
      </c>
      <c r="C67">
        <v>0.36709999999999998</v>
      </c>
      <c r="D67">
        <v>0.17910000000000001</v>
      </c>
      <c r="E67">
        <v>0.3488</v>
      </c>
    </row>
    <row r="68" spans="1:5">
      <c r="A68">
        <v>64</v>
      </c>
      <c r="B68">
        <v>0.35239999999999999</v>
      </c>
      <c r="C68">
        <v>0.35370000000000001</v>
      </c>
      <c r="D68">
        <v>0.16900000000000001</v>
      </c>
      <c r="E68">
        <v>0.33650000000000002</v>
      </c>
    </row>
    <row r="69" spans="1:5">
      <c r="A69">
        <v>65</v>
      </c>
      <c r="B69">
        <v>0.33879999999999999</v>
      </c>
      <c r="C69">
        <v>0.34329999999999999</v>
      </c>
      <c r="D69">
        <v>0.15890000000000001</v>
      </c>
      <c r="E69">
        <v>0.32379999999999998</v>
      </c>
    </row>
    <row r="70" spans="1:5">
      <c r="A70">
        <v>66</v>
      </c>
      <c r="B70">
        <v>0.32379999999999998</v>
      </c>
      <c r="C70">
        <v>0.33250000000000002</v>
      </c>
      <c r="D70">
        <v>0.14860000000000001</v>
      </c>
      <c r="E70">
        <v>0.31069999999999998</v>
      </c>
    </row>
    <row r="71" spans="1:5">
      <c r="A71">
        <v>67</v>
      </c>
      <c r="B71">
        <v>0.3085</v>
      </c>
      <c r="C71">
        <v>0.31719999999999998</v>
      </c>
      <c r="D71">
        <v>0.13830000000000001</v>
      </c>
      <c r="E71">
        <v>0.29709999999999998</v>
      </c>
    </row>
    <row r="72" spans="1:5">
      <c r="A72">
        <v>68</v>
      </c>
      <c r="B72">
        <v>0.29289999999999999</v>
      </c>
      <c r="C72">
        <v>0.30520000000000003</v>
      </c>
      <c r="D72">
        <v>0.12809999999999999</v>
      </c>
      <c r="E72">
        <v>0.28310000000000002</v>
      </c>
    </row>
    <row r="73" spans="1:5">
      <c r="A73">
        <v>69</v>
      </c>
      <c r="B73">
        <v>0.2772</v>
      </c>
      <c r="C73">
        <v>0.29189999999999999</v>
      </c>
      <c r="D73">
        <v>0.1178</v>
      </c>
      <c r="E73">
        <v>0.26869999999999999</v>
      </c>
    </row>
    <row r="74" spans="1:5">
      <c r="A74">
        <v>70</v>
      </c>
      <c r="B74">
        <v>0.26129999999999998</v>
      </c>
      <c r="C74">
        <v>0.27789999999999998</v>
      </c>
      <c r="D74">
        <v>0.1075</v>
      </c>
      <c r="E74">
        <v>0.254</v>
      </c>
    </row>
    <row r="75" spans="1:5">
      <c r="A75">
        <v>71</v>
      </c>
      <c r="B75">
        <v>0.2437</v>
      </c>
      <c r="C75">
        <v>0.26329999999999998</v>
      </c>
      <c r="D75">
        <v>9.7900000000000001E-2</v>
      </c>
      <c r="E75">
        <v>0.23899999999999999</v>
      </c>
    </row>
    <row r="76" spans="1:5">
      <c r="A76">
        <v>72</v>
      </c>
      <c r="B76">
        <v>0.2261</v>
      </c>
      <c r="C76">
        <v>0.24629999999999999</v>
      </c>
      <c r="D76">
        <v>8.8300000000000003E-2</v>
      </c>
      <c r="E76">
        <v>0.22370000000000001</v>
      </c>
    </row>
    <row r="77" spans="1:5">
      <c r="A77">
        <v>73</v>
      </c>
      <c r="B77">
        <v>0.20860000000000001</v>
      </c>
      <c r="C77">
        <v>0.23280000000000001</v>
      </c>
      <c r="D77">
        <v>7.8700000000000006E-2</v>
      </c>
      <c r="E77">
        <v>0.20830000000000001</v>
      </c>
    </row>
    <row r="78" spans="1:5">
      <c r="A78">
        <v>74</v>
      </c>
      <c r="B78">
        <v>0.19139999999999999</v>
      </c>
      <c r="C78">
        <v>0.21560000000000001</v>
      </c>
      <c r="D78">
        <v>6.9199999999999998E-2</v>
      </c>
      <c r="E78">
        <v>0.1928</v>
      </c>
    </row>
    <row r="79" spans="1:5">
      <c r="A79">
        <v>75</v>
      </c>
      <c r="B79">
        <v>0.17460000000000001</v>
      </c>
      <c r="C79">
        <v>0.2009</v>
      </c>
      <c r="D79">
        <v>5.96E-2</v>
      </c>
      <c r="E79">
        <v>0.1772</v>
      </c>
    </row>
    <row r="80" spans="1:5">
      <c r="A80">
        <v>76</v>
      </c>
      <c r="B80">
        <v>0.15709999999999999</v>
      </c>
      <c r="C80">
        <v>0.18410000000000001</v>
      </c>
      <c r="D80">
        <v>5.2600000000000001E-2</v>
      </c>
      <c r="E80">
        <v>0.1618</v>
      </c>
    </row>
    <row r="81" spans="1:5">
      <c r="A81">
        <v>77</v>
      </c>
      <c r="B81">
        <v>0.14019999999999999</v>
      </c>
      <c r="C81">
        <v>0.1696</v>
      </c>
      <c r="D81">
        <v>4.5600000000000002E-2</v>
      </c>
      <c r="E81">
        <v>0.14649999999999999</v>
      </c>
    </row>
    <row r="82" spans="1:5">
      <c r="A82">
        <v>78</v>
      </c>
      <c r="B82">
        <v>0.1241</v>
      </c>
      <c r="C82">
        <v>0.15329999999999999</v>
      </c>
      <c r="D82">
        <v>3.8600000000000002E-2</v>
      </c>
      <c r="E82">
        <v>0.13150000000000001</v>
      </c>
    </row>
    <row r="83" spans="1:5">
      <c r="A83">
        <v>79</v>
      </c>
      <c r="B83">
        <v>0.1087</v>
      </c>
      <c r="C83">
        <v>0.13569999999999999</v>
      </c>
      <c r="D83">
        <v>3.1600000000000003E-2</v>
      </c>
      <c r="E83">
        <v>0.11700000000000001</v>
      </c>
    </row>
    <row r="84" spans="1:5">
      <c r="A84">
        <v>80</v>
      </c>
      <c r="B84">
        <v>9.4299999999999995E-2</v>
      </c>
      <c r="C84">
        <v>0.1221</v>
      </c>
      <c r="D84">
        <v>2.46E-2</v>
      </c>
      <c r="E84">
        <v>0.10299999999999999</v>
      </c>
    </row>
    <row r="85" spans="1:5">
      <c r="A85">
        <v>81</v>
      </c>
      <c r="B85">
        <v>8.0799999999999997E-2</v>
      </c>
      <c r="C85">
        <v>0.1089</v>
      </c>
      <c r="D85">
        <v>2.1100000000000001E-2</v>
      </c>
      <c r="E85">
        <v>8.9599999999999999E-2</v>
      </c>
    </row>
    <row r="86" spans="1:5">
      <c r="A86">
        <v>82</v>
      </c>
      <c r="B86">
        <v>6.83E-2</v>
      </c>
      <c r="C86">
        <v>9.2899999999999996E-2</v>
      </c>
      <c r="D86">
        <v>1.7600000000000001E-2</v>
      </c>
      <c r="E86">
        <v>7.6999999999999999E-2</v>
      </c>
    </row>
    <row r="87" spans="1:5">
      <c r="A87">
        <v>83</v>
      </c>
      <c r="B87">
        <v>5.7000000000000002E-2</v>
      </c>
      <c r="C87">
        <v>8.1299999999999997E-2</v>
      </c>
      <c r="D87">
        <v>1.41E-2</v>
      </c>
      <c r="E87">
        <v>6.5299999999999997E-2</v>
      </c>
    </row>
    <row r="88" spans="1:5">
      <c r="A88">
        <v>84</v>
      </c>
      <c r="B88">
        <v>4.6800000000000001E-2</v>
      </c>
      <c r="C88">
        <v>6.7799999999999999E-2</v>
      </c>
      <c r="D88">
        <v>1.0500000000000001E-2</v>
      </c>
      <c r="E88">
        <v>5.4600000000000003E-2</v>
      </c>
    </row>
    <row r="89" spans="1:5">
      <c r="A89">
        <v>85</v>
      </c>
      <c r="B89">
        <v>3.7699999999999997E-2</v>
      </c>
      <c r="C89">
        <v>5.6000000000000001E-2</v>
      </c>
      <c r="D89">
        <v>7.0000000000000001E-3</v>
      </c>
      <c r="E89">
        <v>4.4900000000000002E-2</v>
      </c>
    </row>
    <row r="90" spans="1:5">
      <c r="A90">
        <v>86</v>
      </c>
      <c r="B90">
        <v>0.03</v>
      </c>
      <c r="C90">
        <v>4.41E-2</v>
      </c>
      <c r="D90">
        <v>5.7999999999999996E-3</v>
      </c>
      <c r="E90">
        <v>3.6299999999999999E-2</v>
      </c>
    </row>
    <row r="91" spans="1:5">
      <c r="A91">
        <v>87</v>
      </c>
      <c r="B91">
        <v>2.3400000000000001E-2</v>
      </c>
      <c r="C91">
        <v>3.61E-2</v>
      </c>
      <c r="D91">
        <v>4.5999999999999999E-3</v>
      </c>
      <c r="E91">
        <v>2.8799999999999999E-2</v>
      </c>
    </row>
    <row r="92" spans="1:5">
      <c r="A92">
        <v>88</v>
      </c>
      <c r="B92">
        <v>1.77E-2</v>
      </c>
      <c r="C92">
        <v>2.9100000000000001E-2</v>
      </c>
      <c r="D92">
        <v>3.3999999999999998E-3</v>
      </c>
      <c r="E92">
        <v>2.23E-2</v>
      </c>
    </row>
    <row r="93" spans="1:5">
      <c r="A93">
        <v>89</v>
      </c>
      <c r="B93">
        <v>1.2999999999999999E-2</v>
      </c>
      <c r="C93">
        <v>2.4400000000000002E-2</v>
      </c>
      <c r="D93">
        <v>2.2000000000000001E-3</v>
      </c>
      <c r="E93">
        <v>1.6899999999999998E-2</v>
      </c>
    </row>
    <row r="94" spans="1:5">
      <c r="A94">
        <v>90</v>
      </c>
      <c r="B94">
        <v>9.1000000000000004E-3</v>
      </c>
      <c r="C94">
        <v>1.8200000000000001E-2</v>
      </c>
      <c r="D94">
        <v>1.1000000000000001E-3</v>
      </c>
      <c r="E94">
        <v>1.2500000000000001E-2</v>
      </c>
    </row>
    <row r="95" spans="1:5">
      <c r="A95">
        <v>91</v>
      </c>
      <c r="B95">
        <v>6.7000000000000002E-3</v>
      </c>
      <c r="C95">
        <v>1.4800000000000001E-2</v>
      </c>
      <c r="D95">
        <v>8.9999999999999998E-4</v>
      </c>
      <c r="E95">
        <v>8.9999999999999993E-3</v>
      </c>
    </row>
    <row r="96" spans="1:5">
      <c r="A96">
        <v>92</v>
      </c>
      <c r="B96">
        <v>4.7000000000000002E-3</v>
      </c>
      <c r="C96">
        <v>1.24E-2</v>
      </c>
      <c r="D96">
        <v>6.9999999999999999E-4</v>
      </c>
      <c r="E96">
        <v>6.3E-3</v>
      </c>
    </row>
    <row r="97" spans="1:5">
      <c r="A97">
        <v>93</v>
      </c>
      <c r="B97">
        <v>3.2000000000000002E-3</v>
      </c>
      <c r="C97">
        <v>8.0999999999999996E-3</v>
      </c>
      <c r="D97">
        <v>5.0000000000000001E-4</v>
      </c>
      <c r="E97">
        <v>4.1000000000000003E-3</v>
      </c>
    </row>
    <row r="98" spans="1:5">
      <c r="A98">
        <v>94</v>
      </c>
      <c r="B98">
        <v>2.2000000000000001E-3</v>
      </c>
      <c r="C98">
        <v>5.3E-3</v>
      </c>
      <c r="D98">
        <v>2.9999999999999997E-4</v>
      </c>
      <c r="E98">
        <v>2.5999999999999999E-3</v>
      </c>
    </row>
    <row r="99" spans="1:5">
      <c r="A99">
        <v>95</v>
      </c>
      <c r="B99">
        <v>1.1999999999999999E-3</v>
      </c>
      <c r="C99">
        <v>3.3E-3</v>
      </c>
      <c r="D99">
        <v>1E-4</v>
      </c>
      <c r="E99">
        <v>1.1999999999999999E-3</v>
      </c>
    </row>
    <row r="100" spans="1:5">
      <c r="A100">
        <v>96</v>
      </c>
      <c r="B100">
        <v>6.9999999999999999E-4</v>
      </c>
      <c r="C100">
        <v>1.1000000000000001E-3</v>
      </c>
      <c r="D100">
        <v>1E-4</v>
      </c>
      <c r="E100">
        <v>5.0000000000000001E-4</v>
      </c>
    </row>
    <row r="101" spans="1:5">
      <c r="A101">
        <v>97</v>
      </c>
      <c r="B101">
        <v>2.9999999999999997E-4</v>
      </c>
      <c r="C101">
        <v>1.1000000000000001E-3</v>
      </c>
      <c r="D101">
        <v>0</v>
      </c>
      <c r="E101">
        <v>2.9999999999999997E-4</v>
      </c>
    </row>
    <row r="102" spans="1:5">
      <c r="A102">
        <v>98</v>
      </c>
      <c r="B102">
        <v>1E-4</v>
      </c>
      <c r="C102">
        <v>1.1000000000000001E-3</v>
      </c>
      <c r="D102">
        <v>0</v>
      </c>
      <c r="E102">
        <v>1E-4</v>
      </c>
    </row>
    <row r="103" spans="1:5">
      <c r="A103">
        <v>99</v>
      </c>
      <c r="B103">
        <v>0</v>
      </c>
      <c r="C103">
        <v>5.0000000000000001E-4</v>
      </c>
      <c r="D103">
        <v>0</v>
      </c>
      <c r="E103">
        <v>0</v>
      </c>
    </row>
    <row r="104" spans="1:5">
      <c r="A104">
        <v>100</v>
      </c>
      <c r="B104">
        <v>0</v>
      </c>
      <c r="C104">
        <v>0</v>
      </c>
      <c r="D104">
        <v>0</v>
      </c>
      <c r="E104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O109"/>
  <sheetViews>
    <sheetView workbookViewId="0"/>
  </sheetViews>
  <sheetFormatPr defaultRowHeight="12.75"/>
  <sheetData>
    <row r="1" spans="1:41">
      <c r="A1">
        <v>0.05</v>
      </c>
      <c r="B1">
        <v>1</v>
      </c>
      <c r="C1">
        <v>0.05</v>
      </c>
      <c r="D1">
        <v>0.1</v>
      </c>
      <c r="E1" t="s">
        <v>171</v>
      </c>
      <c r="G1" t="s">
        <v>170</v>
      </c>
      <c r="H1">
        <v>1756</v>
      </c>
      <c r="I1">
        <v>1757</v>
      </c>
      <c r="J1">
        <v>1758</v>
      </c>
      <c r="K1">
        <v>1759</v>
      </c>
      <c r="L1">
        <v>1760</v>
      </c>
      <c r="M1">
        <v>1761</v>
      </c>
      <c r="N1">
        <v>1762</v>
      </c>
      <c r="O1">
        <v>1763</v>
      </c>
      <c r="P1">
        <v>1764</v>
      </c>
      <c r="Q1">
        <v>1765</v>
      </c>
      <c r="R1">
        <v>1766</v>
      </c>
      <c r="S1">
        <v>1767</v>
      </c>
      <c r="T1">
        <v>1768</v>
      </c>
      <c r="U1">
        <v>1769</v>
      </c>
      <c r="V1">
        <v>1770</v>
      </c>
      <c r="W1">
        <v>1771</v>
      </c>
      <c r="X1">
        <v>1772</v>
      </c>
      <c r="Y1">
        <v>1773</v>
      </c>
      <c r="Z1">
        <v>1774</v>
      </c>
      <c r="AA1">
        <v>1775</v>
      </c>
      <c r="AB1">
        <v>1776</v>
      </c>
      <c r="AC1">
        <v>1777</v>
      </c>
      <c r="AD1">
        <v>1778</v>
      </c>
      <c r="AE1">
        <v>1779</v>
      </c>
      <c r="AF1">
        <v>1780</v>
      </c>
      <c r="AG1">
        <v>1781</v>
      </c>
      <c r="AH1">
        <v>1782</v>
      </c>
      <c r="AI1">
        <v>1783</v>
      </c>
      <c r="AJ1">
        <v>1784</v>
      </c>
      <c r="AK1">
        <v>1785</v>
      </c>
      <c r="AL1">
        <v>1786</v>
      </c>
      <c r="AM1">
        <v>1787</v>
      </c>
      <c r="AN1">
        <v>1788</v>
      </c>
      <c r="AO1">
        <v>1789</v>
      </c>
    </row>
    <row r="2" spans="1:41">
      <c r="A2">
        <v>5.2499999999999998E-2</v>
      </c>
      <c r="B2">
        <v>0.95</v>
      </c>
      <c r="C2">
        <v>4.7500000000000001E-2</v>
      </c>
      <c r="D2">
        <v>0.1</v>
      </c>
      <c r="E2">
        <v>1756</v>
      </c>
      <c r="H2">
        <v>2</v>
      </c>
      <c r="I2">
        <v>9</v>
      </c>
      <c r="K2">
        <v>8</v>
      </c>
      <c r="L2">
        <v>2</v>
      </c>
      <c r="M2">
        <v>3</v>
      </c>
      <c r="O2">
        <v>3</v>
      </c>
      <c r="Q2">
        <v>3</v>
      </c>
      <c r="R2">
        <v>30.2</v>
      </c>
      <c r="S2">
        <v>1.1000000000000001</v>
      </c>
      <c r="U2">
        <v>3</v>
      </c>
      <c r="V2">
        <v>10</v>
      </c>
      <c r="X2">
        <v>1.2</v>
      </c>
      <c r="AB2">
        <f>6+2.44</f>
        <v>8.44</v>
      </c>
      <c r="AD2">
        <f>24+17.2+4</f>
        <v>45.2</v>
      </c>
      <c r="AE2">
        <f>8+3+7</f>
        <v>18</v>
      </c>
      <c r="AF2">
        <v>10</v>
      </c>
      <c r="AG2">
        <f>27.3+1.28</f>
        <v>28.580000000000002</v>
      </c>
      <c r="AH2">
        <v>1.952</v>
      </c>
      <c r="AI2">
        <f>9+4.7+3</f>
        <v>16.7</v>
      </c>
      <c r="AJ2">
        <f>15+1.69</f>
        <v>16.690000000000001</v>
      </c>
      <c r="AK2">
        <v>6</v>
      </c>
      <c r="AM2">
        <v>5</v>
      </c>
      <c r="AN2">
        <v>21.6</v>
      </c>
    </row>
    <row r="3" spans="1:41">
      <c r="A3">
        <v>5.5125E-2</v>
      </c>
      <c r="B3">
        <v>0.89749999999999996</v>
      </c>
      <c r="C3">
        <v>4.4874999999999998E-2</v>
      </c>
      <c r="D3">
        <v>0.1</v>
      </c>
      <c r="E3">
        <v>1757</v>
      </c>
    </row>
    <row r="4" spans="1:41">
      <c r="A4">
        <v>5.7881250000000002E-2</v>
      </c>
      <c r="B4">
        <v>0.84237499999999998</v>
      </c>
      <c r="C4">
        <v>4.2118750000000003E-2</v>
      </c>
      <c r="D4">
        <v>0.1</v>
      </c>
      <c r="E4">
        <v>1758</v>
      </c>
    </row>
    <row r="5" spans="1:41">
      <c r="A5">
        <v>6.0775312499999998E-2</v>
      </c>
      <c r="B5">
        <v>0.78449374999999999</v>
      </c>
      <c r="C5">
        <v>3.9224687500000001E-2</v>
      </c>
      <c r="D5">
        <v>0.1</v>
      </c>
      <c r="E5">
        <v>1759</v>
      </c>
    </row>
    <row r="6" spans="1:41">
      <c r="A6">
        <v>6.3814078125000007E-2</v>
      </c>
      <c r="B6">
        <v>0.72371843749999998</v>
      </c>
      <c r="C6">
        <v>3.6185921874999999E-2</v>
      </c>
      <c r="D6">
        <v>0.1</v>
      </c>
      <c r="E6">
        <v>1760</v>
      </c>
    </row>
    <row r="7" spans="1:41">
      <c r="A7">
        <v>6.7004782031250001E-2</v>
      </c>
      <c r="B7">
        <v>0.65990435937500003</v>
      </c>
      <c r="C7">
        <v>3.2995217968749997E-2</v>
      </c>
      <c r="D7">
        <v>0.1</v>
      </c>
      <c r="E7">
        <v>1761</v>
      </c>
    </row>
    <row r="8" spans="1:41">
      <c r="A8">
        <v>7.0355021132812501E-2</v>
      </c>
      <c r="B8">
        <v>0.59289957734374998</v>
      </c>
      <c r="C8">
        <v>2.9644978867187501E-2</v>
      </c>
      <c r="D8">
        <v>0.1</v>
      </c>
      <c r="E8">
        <v>1762</v>
      </c>
    </row>
    <row r="9" spans="1:41">
      <c r="A9">
        <v>7.3872772189453095E-2</v>
      </c>
      <c r="B9">
        <v>0.52254455621093798</v>
      </c>
      <c r="C9">
        <v>2.61272278105469E-2</v>
      </c>
      <c r="D9">
        <v>0.1</v>
      </c>
      <c r="E9">
        <v>1763</v>
      </c>
      <c r="F9">
        <f t="shared" ref="F9:F51" si="0">SUM(G9:AN9)</f>
        <v>1.68</v>
      </c>
      <c r="G9">
        <v>1.48</v>
      </c>
      <c r="H9">
        <f>H$2*$A$21</f>
        <v>0.2</v>
      </c>
    </row>
    <row r="10" spans="1:41">
      <c r="A10">
        <v>7.7566410798925803E-2</v>
      </c>
      <c r="B10">
        <v>0.448671784021484</v>
      </c>
      <c r="C10">
        <v>2.2433589201074199E-2</v>
      </c>
      <c r="D10">
        <v>0.1</v>
      </c>
      <c r="E10">
        <v>1764</v>
      </c>
      <c r="F10">
        <f t="shared" si="0"/>
        <v>2.58</v>
      </c>
      <c r="G10">
        <v>1.48</v>
      </c>
      <c r="H10">
        <f>H$2*$A$22</f>
        <v>0.2</v>
      </c>
      <c r="I10">
        <f>I$2*$A$21</f>
        <v>0.9</v>
      </c>
    </row>
    <row r="11" spans="1:41">
      <c r="A11">
        <v>8.1444731338872103E-2</v>
      </c>
      <c r="B11">
        <v>0.37110537322255899</v>
      </c>
      <c r="C11">
        <v>1.8555268661127899E-2</v>
      </c>
      <c r="D11">
        <v>0.1</v>
      </c>
      <c r="E11">
        <v>1765</v>
      </c>
      <c r="F11">
        <f t="shared" si="0"/>
        <v>2.58</v>
      </c>
      <c r="G11">
        <v>1.48</v>
      </c>
      <c r="H11">
        <f>H$2*$A$23</f>
        <v>0.2</v>
      </c>
      <c r="I11">
        <f>I$2*$A$22</f>
        <v>0.9</v>
      </c>
    </row>
    <row r="12" spans="1:41">
      <c r="A12">
        <v>8.55169679058157E-2</v>
      </c>
      <c r="B12">
        <v>0.28966064188368701</v>
      </c>
      <c r="C12">
        <v>1.4483032094184301E-2</v>
      </c>
      <c r="D12">
        <v>0.1</v>
      </c>
      <c r="E12">
        <v>1766</v>
      </c>
      <c r="F12">
        <f t="shared" si="0"/>
        <v>3.6799999999999997</v>
      </c>
      <c r="G12">
        <v>1.48</v>
      </c>
      <c r="H12">
        <f>H$2*$A$24</f>
        <v>0.2</v>
      </c>
      <c r="I12">
        <f>I$2*$A$23</f>
        <v>0.9</v>
      </c>
      <c r="K12">
        <f>K$2*$A$21</f>
        <v>0.8</v>
      </c>
      <c r="O12">
        <f>O$2*$A$21</f>
        <v>0.30000000000000004</v>
      </c>
    </row>
    <row r="13" spans="1:41">
      <c r="A13">
        <v>8.9792816301106401E-2</v>
      </c>
      <c r="B13">
        <v>0.204143673977871</v>
      </c>
      <c r="C13">
        <v>1.0207183698893601E-2</v>
      </c>
      <c r="D13">
        <v>0.1</v>
      </c>
      <c r="E13">
        <v>1767</v>
      </c>
      <c r="F13">
        <f t="shared" si="0"/>
        <v>4.18</v>
      </c>
      <c r="G13">
        <v>1.48</v>
      </c>
      <c r="H13">
        <f>H$2*$A$25</f>
        <v>0.2</v>
      </c>
      <c r="I13">
        <f>I$2*$A$24</f>
        <v>0.9</v>
      </c>
      <c r="K13">
        <f>K$2*$A$22</f>
        <v>0.8</v>
      </c>
      <c r="L13">
        <f>L$2*$A$21</f>
        <v>0.2</v>
      </c>
      <c r="O13">
        <f>O$2*$A$22</f>
        <v>0.30000000000000004</v>
      </c>
      <c r="Q13">
        <f>Q$2*$A$21</f>
        <v>0.30000000000000004</v>
      </c>
    </row>
    <row r="14" spans="1:41">
      <c r="A14">
        <v>9.4282457116161802E-2</v>
      </c>
      <c r="B14">
        <v>0.11435085767676501</v>
      </c>
      <c r="C14">
        <v>5.71754288383823E-3</v>
      </c>
      <c r="D14">
        <v>0.1</v>
      </c>
      <c r="E14">
        <v>1768</v>
      </c>
      <c r="F14">
        <f t="shared" si="0"/>
        <v>7.5</v>
      </c>
      <c r="G14">
        <v>1.48</v>
      </c>
      <c r="H14">
        <f>H$2*$A$26</f>
        <v>0.2</v>
      </c>
      <c r="I14">
        <f>I$2*$A$25</f>
        <v>0.9</v>
      </c>
      <c r="K14">
        <f>K$2*$A$23</f>
        <v>0.8</v>
      </c>
      <c r="L14">
        <f>L$2*$A$22</f>
        <v>0.2</v>
      </c>
      <c r="M14">
        <f>M$2*$A$21</f>
        <v>0.30000000000000004</v>
      </c>
      <c r="O14">
        <f>O$2*$A$23</f>
        <v>0.30000000000000004</v>
      </c>
      <c r="Q14">
        <f>Q$2*$A$22</f>
        <v>0.30000000000000004</v>
      </c>
      <c r="R14">
        <f>R$2*$A$21</f>
        <v>3.02</v>
      </c>
    </row>
    <row r="15" spans="1:41">
      <c r="A15">
        <v>2.0068400571428599E-2</v>
      </c>
      <c r="B15">
        <v>2.00684005606028E-2</v>
      </c>
      <c r="C15">
        <v>1.00342002857143E-3</v>
      </c>
      <c r="D15">
        <v>2.1071820599999999E-2</v>
      </c>
      <c r="E15">
        <v>1769</v>
      </c>
      <c r="F15">
        <f t="shared" si="0"/>
        <v>7.61</v>
      </c>
      <c r="G15">
        <v>1.48</v>
      </c>
      <c r="H15">
        <f>H$2*$A$27</f>
        <v>0.2</v>
      </c>
      <c r="I15">
        <f>I$2*$A$26</f>
        <v>0.9</v>
      </c>
      <c r="K15">
        <f>K$2*$A$24</f>
        <v>0.8</v>
      </c>
      <c r="L15">
        <f>L$2*$A$23</f>
        <v>0.2</v>
      </c>
      <c r="M15">
        <f>M$2*$A$22</f>
        <v>0.30000000000000004</v>
      </c>
      <c r="O15">
        <f>O$2*$A$24</f>
        <v>0.30000000000000004</v>
      </c>
      <c r="Q15">
        <f>Q$2*$A$23</f>
        <v>0.30000000000000004</v>
      </c>
      <c r="R15">
        <f>R$2*$A$22</f>
        <v>3.02</v>
      </c>
      <c r="S15">
        <f>S$2*$A$21</f>
        <v>0.11000000000000001</v>
      </c>
    </row>
    <row r="16" spans="1:41">
      <c r="B16">
        <v>0</v>
      </c>
      <c r="E16">
        <v>1770</v>
      </c>
      <c r="F16">
        <f t="shared" si="0"/>
        <v>7.61</v>
      </c>
      <c r="G16">
        <v>1.48</v>
      </c>
      <c r="H16">
        <f>H$2*$A$28</f>
        <v>0.2</v>
      </c>
      <c r="I16">
        <f>I$2*$A$27</f>
        <v>0.9</v>
      </c>
      <c r="K16">
        <f>K$2*$A$25</f>
        <v>0.8</v>
      </c>
      <c r="L16">
        <f>L$2*$A$24</f>
        <v>0.2</v>
      </c>
      <c r="M16">
        <f>M$2*$A$23</f>
        <v>0.30000000000000004</v>
      </c>
      <c r="O16">
        <f>O$2*$A$25</f>
        <v>0.30000000000000004</v>
      </c>
      <c r="Q16">
        <f>Q$2*$A$24</f>
        <v>0.30000000000000004</v>
      </c>
      <c r="R16">
        <f>R$2*$A$23</f>
        <v>3.02</v>
      </c>
      <c r="S16">
        <f>S$2*$A$22</f>
        <v>0.11000000000000001</v>
      </c>
    </row>
    <row r="17" spans="1:36">
      <c r="E17">
        <v>1771</v>
      </c>
      <c r="F17">
        <f t="shared" si="0"/>
        <v>7.91</v>
      </c>
      <c r="G17">
        <v>1.48</v>
      </c>
      <c r="H17">
        <f>H$2*$A$29</f>
        <v>0.2</v>
      </c>
      <c r="I17">
        <f>I$2*$A$28</f>
        <v>0.9</v>
      </c>
      <c r="K17">
        <f>K$2*$A$26</f>
        <v>0.8</v>
      </c>
      <c r="L17">
        <f>L$2*$A$25</f>
        <v>0.2</v>
      </c>
      <c r="M17">
        <f>M$2*$A$24</f>
        <v>0.30000000000000004</v>
      </c>
      <c r="O17">
        <f>O$2*$A$26</f>
        <v>0.30000000000000004</v>
      </c>
      <c r="Q17">
        <f>Q$2*$A$25</f>
        <v>0.30000000000000004</v>
      </c>
      <c r="R17">
        <f>R$2*$A$24</f>
        <v>3.02</v>
      </c>
      <c r="S17">
        <f>S$2*$A$23</f>
        <v>0.11000000000000001</v>
      </c>
      <c r="U17">
        <f>U$2*$A$21</f>
        <v>0.30000000000000004</v>
      </c>
    </row>
    <row r="18" spans="1:36">
      <c r="E18">
        <v>1772</v>
      </c>
      <c r="F18">
        <f t="shared" si="0"/>
        <v>8.91</v>
      </c>
      <c r="G18">
        <v>1.48</v>
      </c>
      <c r="H18">
        <f>H$2*$A$30</f>
        <v>0.2</v>
      </c>
      <c r="I18">
        <f>I$2*$A$29</f>
        <v>0.9</v>
      </c>
      <c r="K18">
        <f>K$2*$A$27</f>
        <v>0.8</v>
      </c>
      <c r="L18">
        <f>L$2*$A$26</f>
        <v>0.2</v>
      </c>
      <c r="M18">
        <f>M$2*$A$25</f>
        <v>0.30000000000000004</v>
      </c>
      <c r="O18">
        <f>O$2*$A$27</f>
        <v>0.30000000000000004</v>
      </c>
      <c r="Q18">
        <f>Q$2*$A$26</f>
        <v>0.30000000000000004</v>
      </c>
      <c r="R18">
        <f>R$2*$A$25</f>
        <v>3.02</v>
      </c>
      <c r="S18">
        <f>S$2*$A$24</f>
        <v>0.11000000000000001</v>
      </c>
      <c r="U18">
        <f>U$2*$A$22</f>
        <v>0.30000000000000004</v>
      </c>
      <c r="V18">
        <f>V$2*$D$1</f>
        <v>1</v>
      </c>
    </row>
    <row r="19" spans="1:36">
      <c r="E19">
        <v>1773</v>
      </c>
      <c r="F19">
        <f t="shared" si="0"/>
        <v>8.91</v>
      </c>
      <c r="G19">
        <v>1.48</v>
      </c>
      <c r="H19">
        <f>H$2*$A$31</f>
        <v>0.2</v>
      </c>
      <c r="I19">
        <f>I$2*$A$30</f>
        <v>0.9</v>
      </c>
      <c r="K19">
        <f>K$2*$A$28</f>
        <v>0.8</v>
      </c>
      <c r="L19">
        <f>L$2*$A$27</f>
        <v>0.2</v>
      </c>
      <c r="M19">
        <f>M$2*$A$26</f>
        <v>0.30000000000000004</v>
      </c>
      <c r="O19">
        <f>O$2*$A$28</f>
        <v>0.30000000000000004</v>
      </c>
      <c r="Q19">
        <f>Q$2*$A$27</f>
        <v>0.30000000000000004</v>
      </c>
      <c r="R19">
        <f>R$2*$A$26</f>
        <v>3.02</v>
      </c>
      <c r="S19">
        <f>S$2*$A$25</f>
        <v>0.11000000000000001</v>
      </c>
      <c r="U19">
        <f>U$2*$A$23</f>
        <v>0.30000000000000004</v>
      </c>
      <c r="V19">
        <f>V$2*$D$2</f>
        <v>1</v>
      </c>
    </row>
    <row r="20" spans="1:36">
      <c r="E20">
        <v>1774</v>
      </c>
      <c r="F20">
        <f t="shared" si="0"/>
        <v>9.0299999999999994</v>
      </c>
      <c r="G20">
        <v>1.48</v>
      </c>
      <c r="H20">
        <f>H$2*$A$32</f>
        <v>0.2</v>
      </c>
      <c r="I20">
        <f>I$2*$A$31</f>
        <v>0.9</v>
      </c>
      <c r="K20">
        <f>K$2*$A$29</f>
        <v>0.8</v>
      </c>
      <c r="L20">
        <f>L$2*$A$28</f>
        <v>0.2</v>
      </c>
      <c r="M20">
        <f>M$2*$A$27</f>
        <v>0.30000000000000004</v>
      </c>
      <c r="O20">
        <f>O$2*$A$29</f>
        <v>0.30000000000000004</v>
      </c>
      <c r="Q20">
        <f>Q$2*$A$28</f>
        <v>0.30000000000000004</v>
      </c>
      <c r="R20">
        <f>R$2*$A$27</f>
        <v>3.02</v>
      </c>
      <c r="S20">
        <f>S$2*$A$26</f>
        <v>0.11000000000000001</v>
      </c>
      <c r="U20">
        <f>U$2*$A$24</f>
        <v>0.30000000000000004</v>
      </c>
      <c r="V20">
        <f>V$2*$D$3</f>
        <v>1</v>
      </c>
      <c r="X20">
        <f>X$2*$D$1</f>
        <v>0.12</v>
      </c>
    </row>
    <row r="21" spans="1:36">
      <c r="A21">
        <v>0.1</v>
      </c>
      <c r="E21">
        <v>1775</v>
      </c>
      <c r="F21">
        <f t="shared" si="0"/>
        <v>9.0299999999999994</v>
      </c>
      <c r="G21">
        <v>1.48</v>
      </c>
      <c r="H21">
        <f>H$2*$A$33</f>
        <v>0.2</v>
      </c>
      <c r="I21">
        <f>I$2*$A$32</f>
        <v>0.9</v>
      </c>
      <c r="K21">
        <f>K$2*$A$30</f>
        <v>0.8</v>
      </c>
      <c r="L21">
        <f>L$2*$A$29</f>
        <v>0.2</v>
      </c>
      <c r="M21">
        <f>M$2*$A$28</f>
        <v>0.30000000000000004</v>
      </c>
      <c r="O21">
        <f>O$2*$A$30</f>
        <v>0.30000000000000004</v>
      </c>
      <c r="Q21">
        <f>Q$2*$A$29</f>
        <v>0.30000000000000004</v>
      </c>
      <c r="R21">
        <f>R$2*$A$28</f>
        <v>3.02</v>
      </c>
      <c r="S21">
        <f>S$2*$A$27</f>
        <v>0.11000000000000001</v>
      </c>
      <c r="U21">
        <f>U$2*$A$25</f>
        <v>0.30000000000000004</v>
      </c>
      <c r="V21">
        <f>V$2*$D$4</f>
        <v>1</v>
      </c>
      <c r="X21">
        <f>X$2*$D$2</f>
        <v>0.12</v>
      </c>
    </row>
    <row r="22" spans="1:36">
      <c r="A22">
        <v>0.1</v>
      </c>
      <c r="E22">
        <v>1776</v>
      </c>
      <c r="F22">
        <f t="shared" si="0"/>
        <v>7.3917535204093534</v>
      </c>
      <c r="G22">
        <v>3.6782863217763098E-2</v>
      </c>
      <c r="H22">
        <f>H$2*$A$34</f>
        <v>4.9706571915895999E-3</v>
      </c>
      <c r="I22">
        <f>I$2*$A$33</f>
        <v>0.9</v>
      </c>
      <c r="K22">
        <f>K$2*$A$31</f>
        <v>0.8</v>
      </c>
      <c r="L22">
        <f>L$2*$A$30</f>
        <v>0.2</v>
      </c>
      <c r="M22">
        <f>M$2*$A$29</f>
        <v>0.30000000000000004</v>
      </c>
      <c r="O22">
        <f>O$2*$A$31</f>
        <v>0.30000000000000004</v>
      </c>
      <c r="Q22">
        <f>Q$2*$A$30</f>
        <v>0.30000000000000004</v>
      </c>
      <c r="R22">
        <f>R$2*$A$29</f>
        <v>3.02</v>
      </c>
      <c r="S22">
        <f>S$2*$A$28</f>
        <v>0.11000000000000001</v>
      </c>
      <c r="U22">
        <f>U$2*$A$26</f>
        <v>0.30000000000000004</v>
      </c>
      <c r="V22">
        <f>V$2*$D$5</f>
        <v>1</v>
      </c>
      <c r="X22">
        <f>X$2*$D$3</f>
        <v>0.12</v>
      </c>
    </row>
    <row r="23" spans="1:36">
      <c r="A23">
        <v>0.1</v>
      </c>
      <c r="E23">
        <v>1777</v>
      </c>
      <c r="F23">
        <f t="shared" si="0"/>
        <v>6.4723679573621533</v>
      </c>
      <c r="I23">
        <f>I$2*$A$34</f>
        <v>2.2367957362153201E-2</v>
      </c>
      <c r="K23">
        <f>K$2*$A$32</f>
        <v>0.8</v>
      </c>
      <c r="L23">
        <f>L$2*$A$31</f>
        <v>0.2</v>
      </c>
      <c r="M23">
        <f>M$2*$A$30</f>
        <v>0.30000000000000004</v>
      </c>
      <c r="O23">
        <f>O$2*$A$32</f>
        <v>0.30000000000000004</v>
      </c>
      <c r="Q23">
        <f>Q$2*$A$31</f>
        <v>0.30000000000000004</v>
      </c>
      <c r="R23">
        <f>R$2*$A$30</f>
        <v>3.02</v>
      </c>
      <c r="S23">
        <f>S$2*$A$29</f>
        <v>0.11000000000000001</v>
      </c>
      <c r="U23">
        <f>U$2*$A$27</f>
        <v>0.30000000000000004</v>
      </c>
      <c r="V23">
        <f>V$2*$D$6</f>
        <v>1</v>
      </c>
      <c r="X23">
        <f>X$2*$D$4</f>
        <v>0.12</v>
      </c>
    </row>
    <row r="24" spans="1:36">
      <c r="A24">
        <v>0.1</v>
      </c>
      <c r="E24">
        <v>1778</v>
      </c>
      <c r="F24">
        <f t="shared" si="0"/>
        <v>7.2940000000000005</v>
      </c>
      <c r="K24">
        <f>K$2*$A$33</f>
        <v>0.8</v>
      </c>
      <c r="L24">
        <f>L$2*$A$32</f>
        <v>0.2</v>
      </c>
      <c r="M24">
        <f>M$2*$A$31</f>
        <v>0.30000000000000004</v>
      </c>
      <c r="O24">
        <f>O$2*$A$33</f>
        <v>0.30000000000000004</v>
      </c>
      <c r="Q24">
        <f>Q$2*$A$32</f>
        <v>0.30000000000000004</v>
      </c>
      <c r="R24">
        <f>R$2*$A$31</f>
        <v>3.02</v>
      </c>
      <c r="S24">
        <f>S$2*$A$30</f>
        <v>0.11000000000000001</v>
      </c>
      <c r="U24">
        <f>U$2*$A$28</f>
        <v>0.30000000000000004</v>
      </c>
      <c r="V24">
        <f>V$2*$D$7</f>
        <v>1</v>
      </c>
      <c r="X24">
        <f>X$2*$D$5</f>
        <v>0.12</v>
      </c>
      <c r="AB24">
        <f>AB$2*$D$1</f>
        <v>0.84399999999999997</v>
      </c>
    </row>
    <row r="25" spans="1:36">
      <c r="A25">
        <v>0.1</v>
      </c>
      <c r="E25">
        <v>1779</v>
      </c>
      <c r="F25">
        <f t="shared" si="0"/>
        <v>6.2213386145537433</v>
      </c>
      <c r="K25">
        <f>K$2*$A$34</f>
        <v>1.98826287663584E-2</v>
      </c>
      <c r="L25">
        <f>L$2*$A$33</f>
        <v>0.2</v>
      </c>
      <c r="M25">
        <f>M$2*$A$32</f>
        <v>0.30000000000000004</v>
      </c>
      <c r="O25">
        <f>O$2*$A$34</f>
        <v>7.4559857873843999E-3</v>
      </c>
      <c r="Q25">
        <f>Q$2*$A$33</f>
        <v>0.30000000000000004</v>
      </c>
      <c r="R25">
        <f>R$2*$A$32</f>
        <v>3.02</v>
      </c>
      <c r="S25">
        <f>S$2*$A$31</f>
        <v>0.11000000000000001</v>
      </c>
      <c r="U25">
        <f>U$2*$A$29</f>
        <v>0.30000000000000004</v>
      </c>
      <c r="V25">
        <f>V$2*$D$8</f>
        <v>1</v>
      </c>
      <c r="X25">
        <f>X$2*$D$6</f>
        <v>0.12</v>
      </c>
      <c r="AB25">
        <f>AB$2*$D$2</f>
        <v>0.84399999999999997</v>
      </c>
    </row>
    <row r="26" spans="1:36">
      <c r="A26">
        <v>0.1</v>
      </c>
      <c r="E26">
        <v>1780</v>
      </c>
      <c r="F26">
        <f t="shared" si="0"/>
        <v>10.226426642978975</v>
      </c>
      <c r="L26">
        <f>L$2*$A$34</f>
        <v>4.9706571915895999E-3</v>
      </c>
      <c r="M26">
        <f>M$2*$A$33</f>
        <v>0.30000000000000004</v>
      </c>
      <c r="Q26">
        <f>Q$2*$A$34</f>
        <v>7.4559857873843999E-3</v>
      </c>
      <c r="R26">
        <f>R$2*$A$33</f>
        <v>3.02</v>
      </c>
      <c r="S26">
        <f>S$2*$A$32</f>
        <v>0.11000000000000001</v>
      </c>
      <c r="U26">
        <f>U$2*$A$30</f>
        <v>0.30000000000000004</v>
      </c>
      <c r="V26">
        <f>V$2*$D$9</f>
        <v>1</v>
      </c>
      <c r="X26">
        <f>X$2*$D$7</f>
        <v>0.12</v>
      </c>
      <c r="AB26">
        <f>AB$2*$D$3</f>
        <v>0.84399999999999997</v>
      </c>
      <c r="AD26">
        <f>AD$2*$D$1</f>
        <v>4.5200000000000005</v>
      </c>
    </row>
    <row r="27" spans="1:36">
      <c r="A27">
        <v>0.1</v>
      </c>
      <c r="E27">
        <v>1781</v>
      </c>
      <c r="F27">
        <f t="shared" si="0"/>
        <v>8.7765129093803882</v>
      </c>
      <c r="M27">
        <f>M$2*$A$34</f>
        <v>7.4559857873843999E-3</v>
      </c>
      <c r="R27">
        <f>R$2*$A$34</f>
        <v>7.5056923593002964E-2</v>
      </c>
      <c r="S27">
        <f>S$2*$A$33</f>
        <v>0.11000000000000001</v>
      </c>
      <c r="U27">
        <f>U$2*$A$31</f>
        <v>0.30000000000000004</v>
      </c>
      <c r="V27">
        <f>V$2*$D$10</f>
        <v>1</v>
      </c>
      <c r="X27">
        <f>X$2*$D$8</f>
        <v>0.12</v>
      </c>
      <c r="AB27">
        <f>AB$2*$D$4</f>
        <v>0.84399999999999997</v>
      </c>
      <c r="AD27">
        <f>AD$2*$D$2</f>
        <v>4.5200000000000005</v>
      </c>
      <c r="AE27">
        <f>AE$2*$D$1</f>
        <v>1.8</v>
      </c>
    </row>
    <row r="28" spans="1:36">
      <c r="A28">
        <v>0.1</v>
      </c>
      <c r="E28">
        <v>1782</v>
      </c>
      <c r="F28">
        <f t="shared" si="0"/>
        <v>9.5867338614553752</v>
      </c>
      <c r="S28">
        <f>S$2*$A$34</f>
        <v>2.7338614553742801E-3</v>
      </c>
      <c r="U28">
        <f>U$2*$A$32</f>
        <v>0.30000000000000004</v>
      </c>
      <c r="V28">
        <f>V$2*$D$11</f>
        <v>1</v>
      </c>
      <c r="X28">
        <f>X$2*$D$9</f>
        <v>0.12</v>
      </c>
      <c r="AB28">
        <f>AB$2*$D$5</f>
        <v>0.84399999999999997</v>
      </c>
      <c r="AD28">
        <f>AD$2*$D$3</f>
        <v>4.5200000000000005</v>
      </c>
      <c r="AE28">
        <f>AE$2*$D$2</f>
        <v>1.8</v>
      </c>
      <c r="AF28">
        <f>AF$2*$D$1</f>
        <v>1</v>
      </c>
    </row>
    <row r="29" spans="1:36">
      <c r="A29">
        <v>0.1</v>
      </c>
      <c r="E29">
        <v>1783</v>
      </c>
      <c r="F29">
        <f t="shared" si="0"/>
        <v>12.442000000000002</v>
      </c>
      <c r="U29">
        <f>U$2*$A$33</f>
        <v>0.30000000000000004</v>
      </c>
      <c r="V29">
        <f>V$2*$D$12</f>
        <v>1</v>
      </c>
      <c r="X29">
        <f>X$2*$D$10</f>
        <v>0.12</v>
      </c>
      <c r="AB29">
        <f>AB$2*$D$6</f>
        <v>0.84399999999999997</v>
      </c>
      <c r="AD29">
        <f>AD$2*$D$4</f>
        <v>4.5200000000000005</v>
      </c>
      <c r="AE29">
        <f>AE$2*$D$3</f>
        <v>1.8</v>
      </c>
      <c r="AF29">
        <f>AF$2*$D$2</f>
        <v>1</v>
      </c>
      <c r="AG29">
        <f>AG$2*$D$1</f>
        <v>2.8580000000000005</v>
      </c>
    </row>
    <row r="30" spans="1:36">
      <c r="A30">
        <v>0.1</v>
      </c>
      <c r="E30">
        <v>1784</v>
      </c>
      <c r="F30">
        <f t="shared" si="0"/>
        <v>12.344655985787385</v>
      </c>
      <c r="U30">
        <f>U$2*$A$34</f>
        <v>7.4559857873843999E-3</v>
      </c>
      <c r="V30">
        <f>V$2*$D$13</f>
        <v>1</v>
      </c>
      <c r="X30">
        <f>X$2*$D$11</f>
        <v>0.12</v>
      </c>
      <c r="AB30">
        <f>AB$2*$D$7</f>
        <v>0.84399999999999997</v>
      </c>
      <c r="AD30">
        <f>AD$2*$D$5</f>
        <v>4.5200000000000005</v>
      </c>
      <c r="AE30">
        <f>AE$2*$D$4</f>
        <v>1.8</v>
      </c>
      <c r="AF30">
        <f>AF$2*$D$3</f>
        <v>1</v>
      </c>
      <c r="AG30">
        <f>AG$2*$D$2</f>
        <v>2.8580000000000005</v>
      </c>
      <c r="AH30">
        <f>AH$2*$D$1</f>
        <v>0.19520000000000001</v>
      </c>
    </row>
    <row r="31" spans="1:36">
      <c r="A31">
        <v>0.1</v>
      </c>
      <c r="E31">
        <v>1785</v>
      </c>
      <c r="F31">
        <f t="shared" si="0"/>
        <v>14.007200000000001</v>
      </c>
      <c r="V31">
        <f>V$2*$D$14</f>
        <v>1</v>
      </c>
      <c r="X31">
        <f>X$2*$D$12</f>
        <v>0.12</v>
      </c>
      <c r="AB31">
        <f>AB$2*$D$8</f>
        <v>0.84399999999999997</v>
      </c>
      <c r="AD31">
        <f>AD$2*$D$6</f>
        <v>4.5200000000000005</v>
      </c>
      <c r="AE31">
        <f>AE$2*$D$5</f>
        <v>1.8</v>
      </c>
      <c r="AF31">
        <f>AF$2*$D$4</f>
        <v>1</v>
      </c>
      <c r="AG31">
        <f>AG$2*$D$3</f>
        <v>2.8580000000000005</v>
      </c>
      <c r="AH31">
        <f>AH$2*$D$2</f>
        <v>0.19520000000000001</v>
      </c>
      <c r="AI31">
        <f>AI$2*$D$1</f>
        <v>1.67</v>
      </c>
    </row>
    <row r="32" spans="1:36">
      <c r="A32">
        <v>0.1</v>
      </c>
      <c r="E32">
        <v>1786</v>
      </c>
      <c r="F32">
        <f t="shared" si="0"/>
        <v>14.886918206000002</v>
      </c>
      <c r="V32">
        <f>V$2*$D$15</f>
        <v>0.21071820599999999</v>
      </c>
      <c r="X32">
        <f>X$2*$D$13</f>
        <v>0.12</v>
      </c>
      <c r="AB32">
        <f>AB$2*$D$9</f>
        <v>0.84399999999999997</v>
      </c>
      <c r="AD32">
        <f>AD$2*$D$7</f>
        <v>4.5200000000000005</v>
      </c>
      <c r="AE32">
        <f>AE$2*$D$6</f>
        <v>1.8</v>
      </c>
      <c r="AF32">
        <f>AF$2*$D$5</f>
        <v>1</v>
      </c>
      <c r="AG32">
        <f>AG$2*$D$4</f>
        <v>2.8580000000000005</v>
      </c>
      <c r="AH32">
        <f>AH$2*$D$3</f>
        <v>0.19520000000000001</v>
      </c>
      <c r="AI32">
        <f>AI$2*$D$2</f>
        <v>1.67</v>
      </c>
      <c r="AJ32">
        <f>AJ$2*$D$1</f>
        <v>1.6690000000000003</v>
      </c>
    </row>
    <row r="33" spans="1:40">
      <c r="A33">
        <v>0.1</v>
      </c>
      <c r="E33">
        <v>1787</v>
      </c>
      <c r="F33">
        <f t="shared" si="0"/>
        <v>15.276199999999999</v>
      </c>
      <c r="X33">
        <f>X$2*$D$14</f>
        <v>0.12</v>
      </c>
      <c r="AB33">
        <f>AB$2*$D$10</f>
        <v>0.84399999999999997</v>
      </c>
      <c r="AD33">
        <f>AD$2*$D$8</f>
        <v>4.5200000000000005</v>
      </c>
      <c r="AE33">
        <f>AE$2*$D$7</f>
        <v>1.8</v>
      </c>
      <c r="AF33">
        <f>AF$2*$D$6</f>
        <v>1</v>
      </c>
      <c r="AG33">
        <f>AG$2*$D$5</f>
        <v>2.8580000000000005</v>
      </c>
      <c r="AH33">
        <f>AH$2*$D$4</f>
        <v>0.19520000000000001</v>
      </c>
      <c r="AI33">
        <f>AI$2*$D$3</f>
        <v>1.67</v>
      </c>
      <c r="AJ33">
        <f>AJ$2*$D$2</f>
        <v>1.6690000000000003</v>
      </c>
      <c r="AK33">
        <f>AK$2*$D$1</f>
        <v>0.60000000000000009</v>
      </c>
    </row>
    <row r="34" spans="1:40">
      <c r="A34">
        <v>2.4853285957948E-3</v>
      </c>
      <c r="E34">
        <v>1788</v>
      </c>
      <c r="F34">
        <f t="shared" si="0"/>
        <v>15.181486184720001</v>
      </c>
      <c r="X34">
        <f>X$2*$D$15</f>
        <v>2.5286184719999997E-2</v>
      </c>
      <c r="AB34">
        <f>AB$2*$D$11</f>
        <v>0.84399999999999997</v>
      </c>
      <c r="AD34">
        <f>AD$2*$D$9</f>
        <v>4.5200000000000005</v>
      </c>
      <c r="AE34">
        <f>AE$2*$D$8</f>
        <v>1.8</v>
      </c>
      <c r="AF34">
        <f>AF$2*$D$7</f>
        <v>1</v>
      </c>
      <c r="AG34">
        <f>AG$2*$D$6</f>
        <v>2.8580000000000005</v>
      </c>
      <c r="AH34">
        <f>AH$2*$D$5</f>
        <v>0.19520000000000001</v>
      </c>
      <c r="AI34">
        <f>AI$2*$D$4</f>
        <v>1.67</v>
      </c>
      <c r="AJ34">
        <f>AJ$2*$D$3</f>
        <v>1.6690000000000003</v>
      </c>
      <c r="AK34">
        <f>AK$2*$D$2</f>
        <v>0.60000000000000009</v>
      </c>
      <c r="AL34">
        <f>AL$2*$D$1</f>
        <v>0</v>
      </c>
    </row>
    <row r="35" spans="1:40">
      <c r="E35">
        <v>1789</v>
      </c>
      <c r="F35">
        <f t="shared" si="0"/>
        <v>15.656200000000002</v>
      </c>
      <c r="AB35">
        <f>AB$2*$D$12</f>
        <v>0.84399999999999997</v>
      </c>
      <c r="AD35">
        <f>AD$2*$D$10</f>
        <v>4.5200000000000005</v>
      </c>
      <c r="AE35">
        <f>AE$2*$D$9</f>
        <v>1.8</v>
      </c>
      <c r="AF35">
        <f>AF$2*$D$8</f>
        <v>1</v>
      </c>
      <c r="AG35">
        <f>AG$2*$D$7</f>
        <v>2.8580000000000005</v>
      </c>
      <c r="AH35">
        <f>AH$2*$D$6</f>
        <v>0.19520000000000001</v>
      </c>
      <c r="AI35">
        <f>AI$2*$D$5</f>
        <v>1.67</v>
      </c>
      <c r="AJ35">
        <f>AJ$2*$D$4</f>
        <v>1.6690000000000003</v>
      </c>
      <c r="AK35">
        <f>AK$2*$D$3</f>
        <v>0.60000000000000009</v>
      </c>
      <c r="AL35">
        <f>AL$2*$D$2</f>
        <v>0</v>
      </c>
      <c r="AM35">
        <f>AM$2*$D$1</f>
        <v>0.5</v>
      </c>
    </row>
    <row r="36" spans="1:40">
      <c r="E36">
        <v>1790</v>
      </c>
      <c r="F36">
        <f t="shared" si="0"/>
        <v>17.816200000000002</v>
      </c>
      <c r="AB36">
        <f>AB$2*$D$13</f>
        <v>0.84399999999999997</v>
      </c>
      <c r="AD36">
        <f>AD$2*$D$11</f>
        <v>4.5200000000000005</v>
      </c>
      <c r="AE36">
        <f>AE$2*$D$10</f>
        <v>1.8</v>
      </c>
      <c r="AF36">
        <f>AF$2*$D$9</f>
        <v>1</v>
      </c>
      <c r="AG36">
        <f>AG$2*$D$8</f>
        <v>2.8580000000000005</v>
      </c>
      <c r="AH36">
        <f>AH$2*$D$7</f>
        <v>0.19520000000000001</v>
      </c>
      <c r="AI36">
        <f>AI$2*$D$6</f>
        <v>1.67</v>
      </c>
      <c r="AJ36">
        <f>AJ$2*$D$5</f>
        <v>1.6690000000000003</v>
      </c>
      <c r="AK36">
        <f>AK$2*$D$4</f>
        <v>0.60000000000000009</v>
      </c>
      <c r="AL36">
        <f>AL$2*$D$3</f>
        <v>0</v>
      </c>
      <c r="AM36">
        <f>AM$2*$D$2</f>
        <v>0.5</v>
      </c>
      <c r="AN36">
        <f>AN$2*$D$1</f>
        <v>2.16</v>
      </c>
    </row>
    <row r="37" spans="1:40">
      <c r="E37">
        <v>1791</v>
      </c>
      <c r="F37">
        <f t="shared" si="0"/>
        <v>17.816200000000002</v>
      </c>
      <c r="AB37">
        <f>AB$2*$D$14</f>
        <v>0.84399999999999997</v>
      </c>
      <c r="AD37">
        <f>AD$2*$D$12</f>
        <v>4.5200000000000005</v>
      </c>
      <c r="AE37">
        <f>AE$2*$D$11</f>
        <v>1.8</v>
      </c>
      <c r="AF37">
        <f>AF$2*$D$10</f>
        <v>1</v>
      </c>
      <c r="AG37">
        <f>AG$2*$D$9</f>
        <v>2.8580000000000005</v>
      </c>
      <c r="AH37">
        <f>AH$2*$D$8</f>
        <v>0.19520000000000001</v>
      </c>
      <c r="AI37">
        <f>AI$2*$D$7</f>
        <v>1.67</v>
      </c>
      <c r="AJ37">
        <f>AJ$2*$D$6</f>
        <v>1.6690000000000003</v>
      </c>
      <c r="AK37">
        <f>AK$2*$D$5</f>
        <v>0.60000000000000009</v>
      </c>
      <c r="AL37">
        <f>AL$2*$D$4</f>
        <v>0</v>
      </c>
      <c r="AM37">
        <f>AM$2*$D$3</f>
        <v>0.5</v>
      </c>
      <c r="AN37">
        <f>AN$2*$D$2</f>
        <v>2.16</v>
      </c>
    </row>
    <row r="38" spans="1:40">
      <c r="E38">
        <v>1792</v>
      </c>
      <c r="F38">
        <f t="shared" si="0"/>
        <v>17.150046165864001</v>
      </c>
      <c r="AB38">
        <f>AB$2*$D$15</f>
        <v>0.17784616586399998</v>
      </c>
      <c r="AD38">
        <f>AD$2*$D$13</f>
        <v>4.5200000000000005</v>
      </c>
      <c r="AE38">
        <f>AE$2*$D$12</f>
        <v>1.8</v>
      </c>
      <c r="AF38">
        <f>AF$2*$D$11</f>
        <v>1</v>
      </c>
      <c r="AG38">
        <f>AG$2*$D$10</f>
        <v>2.8580000000000005</v>
      </c>
      <c r="AH38">
        <f>AH$2*$D$9</f>
        <v>0.19520000000000001</v>
      </c>
      <c r="AI38">
        <f>AI$2*$D$8</f>
        <v>1.67</v>
      </c>
      <c r="AJ38">
        <f>AJ$2*$D$7</f>
        <v>1.6690000000000003</v>
      </c>
      <c r="AK38">
        <f>AK$2*$D$6</f>
        <v>0.60000000000000009</v>
      </c>
      <c r="AL38">
        <f>AL$2*$D$5</f>
        <v>0</v>
      </c>
      <c r="AM38">
        <f>AM$2*$D$4</f>
        <v>0.5</v>
      </c>
      <c r="AN38">
        <f>AN$2*$D$3</f>
        <v>2.16</v>
      </c>
    </row>
    <row r="39" spans="1:40">
      <c r="E39">
        <v>1793</v>
      </c>
      <c r="F39">
        <f t="shared" si="0"/>
        <v>16.972200000000001</v>
      </c>
      <c r="AD39">
        <f>AD$2*$D$14</f>
        <v>4.5200000000000005</v>
      </c>
      <c r="AE39">
        <f>AE$2*$D$13</f>
        <v>1.8</v>
      </c>
      <c r="AF39">
        <f>AF$2*$D$12</f>
        <v>1</v>
      </c>
      <c r="AG39">
        <f>AG$2*$D$11</f>
        <v>2.8580000000000005</v>
      </c>
      <c r="AH39">
        <f>AH$2*$D$10</f>
        <v>0.19520000000000001</v>
      </c>
      <c r="AI39">
        <f>AI$2*$D$9</f>
        <v>1.67</v>
      </c>
      <c r="AJ39">
        <f>AJ$2*$D$8</f>
        <v>1.6690000000000003</v>
      </c>
      <c r="AK39">
        <f>AK$2*$D$7</f>
        <v>0.60000000000000009</v>
      </c>
      <c r="AL39">
        <f>AL$2*$D$6</f>
        <v>0</v>
      </c>
      <c r="AM39">
        <f>AM$2*$D$5</f>
        <v>0.5</v>
      </c>
      <c r="AN39">
        <f>AN$2*$D$4</f>
        <v>2.16</v>
      </c>
    </row>
    <row r="40" spans="1:40">
      <c r="E40">
        <v>1794</v>
      </c>
      <c r="F40">
        <f t="shared" si="0"/>
        <v>13.404646291120001</v>
      </c>
      <c r="AD40">
        <f>AD$2*$D$15</f>
        <v>0.95244629112000001</v>
      </c>
      <c r="AE40">
        <f>AE$2*$D$14</f>
        <v>1.8</v>
      </c>
      <c r="AF40">
        <f>AF$2*$D$13</f>
        <v>1</v>
      </c>
      <c r="AG40">
        <f>AG$2*$D$12</f>
        <v>2.8580000000000005</v>
      </c>
      <c r="AH40">
        <f>AH$2*$D$11</f>
        <v>0.19520000000000001</v>
      </c>
      <c r="AI40">
        <f>AI$2*$D$10</f>
        <v>1.67</v>
      </c>
      <c r="AJ40">
        <f>AJ$2*$D$9</f>
        <v>1.6690000000000003</v>
      </c>
      <c r="AK40">
        <f>AK$2*$D$8</f>
        <v>0.60000000000000009</v>
      </c>
      <c r="AL40">
        <f>AL$2*$D$7</f>
        <v>0</v>
      </c>
      <c r="AM40">
        <f>AM$2*$D$6</f>
        <v>0.5</v>
      </c>
      <c r="AN40">
        <f>AN$2*$D$5</f>
        <v>2.16</v>
      </c>
    </row>
    <row r="41" spans="1:40">
      <c r="E41">
        <v>1795</v>
      </c>
      <c r="F41">
        <f t="shared" si="0"/>
        <v>11.031492770800002</v>
      </c>
      <c r="AE41">
        <f>AE$2*$D$15</f>
        <v>0.37929277080000001</v>
      </c>
      <c r="AF41">
        <f>AF$2*$D$14</f>
        <v>1</v>
      </c>
      <c r="AG41">
        <f>AG$2*$D$13</f>
        <v>2.8580000000000005</v>
      </c>
      <c r="AH41">
        <f>AH$2*$D$12</f>
        <v>0.19520000000000001</v>
      </c>
      <c r="AI41">
        <f>AI$2*$D$11</f>
        <v>1.67</v>
      </c>
      <c r="AJ41">
        <f>AJ$2*$D$10</f>
        <v>1.6690000000000003</v>
      </c>
      <c r="AK41">
        <f>AK$2*$D$9</f>
        <v>0.60000000000000009</v>
      </c>
      <c r="AL41">
        <f>AL$2*$D$8</f>
        <v>0</v>
      </c>
      <c r="AM41">
        <f>AM$2*$D$7</f>
        <v>0.5</v>
      </c>
      <c r="AN41">
        <f>AN$2*$D$6</f>
        <v>2.16</v>
      </c>
    </row>
    <row r="42" spans="1:40">
      <c r="E42">
        <v>1796</v>
      </c>
      <c r="F42">
        <f t="shared" si="0"/>
        <v>9.8629182060000016</v>
      </c>
      <c r="AF42">
        <f>AF$2*$D$15</f>
        <v>0.21071820599999999</v>
      </c>
      <c r="AG42">
        <f>AG$2*$D$14</f>
        <v>2.8580000000000005</v>
      </c>
      <c r="AH42">
        <f>AH$2*$D$13</f>
        <v>0.19520000000000001</v>
      </c>
      <c r="AI42">
        <f>AI$2*$D$12</f>
        <v>1.67</v>
      </c>
      <c r="AJ42">
        <f>AJ$2*$D$11</f>
        <v>1.6690000000000003</v>
      </c>
      <c r="AK42">
        <f>AK$2*$D$10</f>
        <v>0.60000000000000009</v>
      </c>
      <c r="AL42">
        <f>AL$2*$D$9</f>
        <v>0</v>
      </c>
      <c r="AM42">
        <f>AM$2*$D$8</f>
        <v>0.5</v>
      </c>
      <c r="AN42">
        <f>AN$2*$D$7</f>
        <v>2.16</v>
      </c>
    </row>
    <row r="43" spans="1:40">
      <c r="E43">
        <v>1797</v>
      </c>
      <c r="F43">
        <f t="shared" si="0"/>
        <v>7.3964326327480006</v>
      </c>
      <c r="AG43">
        <f>AG$2*$D$15</f>
        <v>0.60223263274799999</v>
      </c>
      <c r="AH43">
        <f>AH$2*$D$14</f>
        <v>0.19520000000000001</v>
      </c>
      <c r="AI43">
        <f>AI$2*$D$13</f>
        <v>1.67</v>
      </c>
      <c r="AJ43">
        <f>AJ$2*$D$12</f>
        <v>1.6690000000000003</v>
      </c>
      <c r="AK43">
        <f>AK$2*$D$11</f>
        <v>0.60000000000000009</v>
      </c>
      <c r="AL43">
        <f>AL$2*$D$10</f>
        <v>0</v>
      </c>
      <c r="AM43">
        <f>AM$2*$D$9</f>
        <v>0.5</v>
      </c>
      <c r="AN43">
        <f>AN$2*$D$8</f>
        <v>2.16</v>
      </c>
    </row>
    <row r="44" spans="1:40">
      <c r="E44">
        <v>1798</v>
      </c>
      <c r="F44">
        <f t="shared" si="0"/>
        <v>6.6401321938112003</v>
      </c>
      <c r="AH44">
        <f>AH$2*$D$15</f>
        <v>4.11321938112E-2</v>
      </c>
      <c r="AI44">
        <f>AI$2*$D$14</f>
        <v>1.67</v>
      </c>
      <c r="AJ44">
        <f>AJ$2*$D$13</f>
        <v>1.6690000000000003</v>
      </c>
      <c r="AK44">
        <f>AK$2*$D$12</f>
        <v>0.60000000000000009</v>
      </c>
      <c r="AL44">
        <f>AL$2*$D$11</f>
        <v>0</v>
      </c>
      <c r="AM44">
        <f>AM$2*$D$10</f>
        <v>0.5</v>
      </c>
      <c r="AN44">
        <f>AN$2*$D$9</f>
        <v>2.16</v>
      </c>
    </row>
    <row r="45" spans="1:40">
      <c r="E45">
        <v>1799</v>
      </c>
      <c r="F45">
        <f t="shared" si="0"/>
        <v>5.2808994040200004</v>
      </c>
      <c r="AI45">
        <f>AI$2*$D$15</f>
        <v>0.35189940401999997</v>
      </c>
      <c r="AJ45">
        <f>AJ$2*$D$14</f>
        <v>1.6690000000000003</v>
      </c>
      <c r="AK45">
        <f>AK$2*$D$13</f>
        <v>0.60000000000000009</v>
      </c>
      <c r="AL45">
        <f>AL$2*$D$12</f>
        <v>0</v>
      </c>
      <c r="AM45">
        <f>AM$2*$D$11</f>
        <v>0.5</v>
      </c>
      <c r="AN45">
        <f>AN$2*$D$10</f>
        <v>2.16</v>
      </c>
    </row>
    <row r="46" spans="1:40">
      <c r="E46">
        <v>1800</v>
      </c>
      <c r="F46">
        <f t="shared" si="0"/>
        <v>3.6116886858140003</v>
      </c>
      <c r="AJ46">
        <f>AJ$2*$D$15</f>
        <v>0.35168868581400003</v>
      </c>
      <c r="AK46">
        <f>AK$2*$D$14</f>
        <v>0.60000000000000009</v>
      </c>
      <c r="AL46">
        <f>AL$2*$D$13</f>
        <v>0</v>
      </c>
      <c r="AM46">
        <f>AM$2*$D$12</f>
        <v>0.5</v>
      </c>
      <c r="AN46">
        <f>AN$2*$D$11</f>
        <v>2.16</v>
      </c>
    </row>
    <row r="47" spans="1:40">
      <c r="E47">
        <v>1801</v>
      </c>
      <c r="F47">
        <f t="shared" si="0"/>
        <v>2.7864309236000002</v>
      </c>
      <c r="AK47">
        <f>AK$2*$D$15</f>
        <v>0.12643092359999999</v>
      </c>
      <c r="AL47">
        <f>AL$2*$D$14</f>
        <v>0</v>
      </c>
      <c r="AM47">
        <f>AM$2*$D$13</f>
        <v>0.5</v>
      </c>
      <c r="AN47">
        <f>AN$2*$D$12</f>
        <v>2.16</v>
      </c>
    </row>
    <row r="48" spans="1:40">
      <c r="E48">
        <v>1802</v>
      </c>
      <c r="F48">
        <f t="shared" si="0"/>
        <v>2.66</v>
      </c>
      <c r="AL48">
        <f>AL$2*$D$15</f>
        <v>0</v>
      </c>
      <c r="AM48">
        <f>AM$2*$D$14</f>
        <v>0.5</v>
      </c>
      <c r="AN48">
        <f>AN$2*$D$13</f>
        <v>2.16</v>
      </c>
    </row>
    <row r="49" spans="1:41">
      <c r="E49">
        <v>1803</v>
      </c>
      <c r="F49">
        <f t="shared" si="0"/>
        <v>2.2653591030000002</v>
      </c>
      <c r="AM49">
        <f>AM$2*$D$15</f>
        <v>0.105359103</v>
      </c>
      <c r="AN49">
        <f>AN$2*$D$14</f>
        <v>2.16</v>
      </c>
    </row>
    <row r="50" spans="1:41">
      <c r="E50">
        <v>1804</v>
      </c>
      <c r="F50">
        <f t="shared" si="0"/>
        <v>0.45515132495999999</v>
      </c>
      <c r="AN50">
        <f>AN$2*$D$15</f>
        <v>0.45515132495999999</v>
      </c>
    </row>
    <row r="51" spans="1:41">
      <c r="E51">
        <v>1805</v>
      </c>
      <c r="F51">
        <f t="shared" si="0"/>
        <v>0</v>
      </c>
    </row>
    <row r="59" spans="1:41">
      <c r="B59" t="s">
        <v>169</v>
      </c>
      <c r="C59" t="s">
        <v>168</v>
      </c>
    </row>
    <row r="60" spans="1:41">
      <c r="B60">
        <v>1</v>
      </c>
      <c r="C60">
        <v>1</v>
      </c>
    </row>
    <row r="61" spans="1:41">
      <c r="A61">
        <f t="shared" ref="A61:A73" si="1">0.1-0.04*B60</f>
        <v>6.0000000000000005E-2</v>
      </c>
      <c r="B61">
        <f t="shared" ref="B61:B73" si="2">B60-A61</f>
        <v>0.94</v>
      </c>
      <c r="C61">
        <v>0.95</v>
      </c>
    </row>
    <row r="62" spans="1:41">
      <c r="A62">
        <f t="shared" si="1"/>
        <v>6.2400000000000004E-2</v>
      </c>
      <c r="B62">
        <f t="shared" si="2"/>
        <v>0.87759999999999994</v>
      </c>
      <c r="C62">
        <v>0.89749999999999996</v>
      </c>
    </row>
    <row r="63" spans="1:41">
      <c r="A63">
        <f t="shared" si="1"/>
        <v>6.4896000000000009E-2</v>
      </c>
      <c r="B63">
        <f t="shared" si="2"/>
        <v>0.81270399999999987</v>
      </c>
      <c r="C63">
        <v>0.84237499999999998</v>
      </c>
      <c r="E63" t="s">
        <v>92</v>
      </c>
      <c r="F63" t="s">
        <v>68</v>
      </c>
      <c r="G63" t="s">
        <v>167</v>
      </c>
    </row>
    <row r="64" spans="1:41">
      <c r="A64">
        <f t="shared" si="1"/>
        <v>6.7491840000000011E-2</v>
      </c>
      <c r="B64">
        <f t="shared" si="2"/>
        <v>0.7452121599999999</v>
      </c>
      <c r="C64">
        <v>0.78449374999999999</v>
      </c>
      <c r="H64">
        <v>1756</v>
      </c>
      <c r="I64">
        <v>1757</v>
      </c>
      <c r="J64">
        <v>1758</v>
      </c>
      <c r="K64">
        <v>1759</v>
      </c>
      <c r="L64">
        <v>1760</v>
      </c>
      <c r="M64">
        <v>1761</v>
      </c>
      <c r="N64">
        <v>1762</v>
      </c>
      <c r="O64">
        <v>1763</v>
      </c>
      <c r="P64">
        <v>1764</v>
      </c>
      <c r="Q64">
        <v>1765</v>
      </c>
      <c r="R64">
        <v>1766</v>
      </c>
      <c r="S64">
        <v>1767</v>
      </c>
      <c r="T64">
        <v>1768</v>
      </c>
      <c r="U64">
        <v>1769</v>
      </c>
      <c r="V64">
        <v>1770</v>
      </c>
      <c r="W64">
        <v>1771</v>
      </c>
      <c r="X64">
        <v>1772</v>
      </c>
      <c r="Y64">
        <v>1773</v>
      </c>
      <c r="Z64">
        <v>1774</v>
      </c>
      <c r="AA64">
        <v>1775</v>
      </c>
      <c r="AB64">
        <v>1776</v>
      </c>
      <c r="AC64">
        <v>1777</v>
      </c>
      <c r="AD64">
        <v>1778</v>
      </c>
      <c r="AE64">
        <v>1779</v>
      </c>
      <c r="AF64">
        <v>1780</v>
      </c>
      <c r="AG64">
        <v>1781</v>
      </c>
      <c r="AH64">
        <v>1782</v>
      </c>
      <c r="AI64">
        <v>1783</v>
      </c>
      <c r="AJ64">
        <v>1784</v>
      </c>
      <c r="AK64">
        <v>1785</v>
      </c>
      <c r="AL64">
        <v>1786</v>
      </c>
      <c r="AM64">
        <v>1787</v>
      </c>
      <c r="AN64">
        <v>1788</v>
      </c>
      <c r="AO64">
        <v>1789</v>
      </c>
    </row>
    <row r="65" spans="1:40">
      <c r="A65">
        <f t="shared" si="1"/>
        <v>7.0191513600000005E-2</v>
      </c>
      <c r="B65">
        <f t="shared" si="2"/>
        <v>0.67502064639999992</v>
      </c>
      <c r="C65">
        <v>0.72371843749999998</v>
      </c>
      <c r="H65">
        <f t="shared" ref="H65:AN65" si="3">H2</f>
        <v>2</v>
      </c>
      <c r="I65">
        <f t="shared" si="3"/>
        <v>9</v>
      </c>
      <c r="J65">
        <f t="shared" si="3"/>
        <v>0</v>
      </c>
      <c r="K65">
        <f t="shared" si="3"/>
        <v>8</v>
      </c>
      <c r="L65">
        <f t="shared" si="3"/>
        <v>2</v>
      </c>
      <c r="M65">
        <f t="shared" si="3"/>
        <v>3</v>
      </c>
      <c r="N65">
        <f t="shared" si="3"/>
        <v>0</v>
      </c>
      <c r="O65">
        <f t="shared" si="3"/>
        <v>3</v>
      </c>
      <c r="P65">
        <f t="shared" si="3"/>
        <v>0</v>
      </c>
      <c r="Q65">
        <f t="shared" si="3"/>
        <v>3</v>
      </c>
      <c r="R65">
        <f t="shared" si="3"/>
        <v>30.2</v>
      </c>
      <c r="S65">
        <f t="shared" si="3"/>
        <v>1.1000000000000001</v>
      </c>
      <c r="T65">
        <f t="shared" si="3"/>
        <v>0</v>
      </c>
      <c r="U65">
        <f t="shared" si="3"/>
        <v>3</v>
      </c>
      <c r="V65">
        <f t="shared" si="3"/>
        <v>10</v>
      </c>
      <c r="W65">
        <f t="shared" si="3"/>
        <v>0</v>
      </c>
      <c r="X65">
        <f t="shared" si="3"/>
        <v>1.2</v>
      </c>
      <c r="Y65">
        <f t="shared" si="3"/>
        <v>0</v>
      </c>
      <c r="Z65">
        <f t="shared" si="3"/>
        <v>0</v>
      </c>
      <c r="AA65">
        <f t="shared" si="3"/>
        <v>0</v>
      </c>
      <c r="AB65">
        <f t="shared" si="3"/>
        <v>8.44</v>
      </c>
      <c r="AC65">
        <f t="shared" si="3"/>
        <v>0</v>
      </c>
      <c r="AD65">
        <f t="shared" si="3"/>
        <v>45.2</v>
      </c>
      <c r="AE65">
        <f t="shared" si="3"/>
        <v>18</v>
      </c>
      <c r="AF65">
        <f t="shared" si="3"/>
        <v>10</v>
      </c>
      <c r="AG65">
        <f t="shared" si="3"/>
        <v>28.580000000000002</v>
      </c>
      <c r="AH65">
        <f t="shared" si="3"/>
        <v>1.952</v>
      </c>
      <c r="AI65">
        <f t="shared" si="3"/>
        <v>16.7</v>
      </c>
      <c r="AJ65">
        <f t="shared" si="3"/>
        <v>16.690000000000001</v>
      </c>
      <c r="AK65">
        <f t="shared" si="3"/>
        <v>6</v>
      </c>
      <c r="AL65">
        <f t="shared" si="3"/>
        <v>0</v>
      </c>
      <c r="AM65">
        <f t="shared" si="3"/>
        <v>5</v>
      </c>
      <c r="AN65">
        <f t="shared" si="3"/>
        <v>21.6</v>
      </c>
    </row>
    <row r="66" spans="1:40">
      <c r="A66">
        <f t="shared" si="1"/>
        <v>7.2999174144000006E-2</v>
      </c>
      <c r="B66">
        <f t="shared" si="2"/>
        <v>0.60202147225599989</v>
      </c>
      <c r="C66">
        <v>0.65990435937500003</v>
      </c>
    </row>
    <row r="67" spans="1:40">
      <c r="A67">
        <f t="shared" si="1"/>
        <v>7.5919141109760002E-2</v>
      </c>
      <c r="B67">
        <f t="shared" si="2"/>
        <v>0.52610233114623983</v>
      </c>
      <c r="C67">
        <v>0.59289957734374998</v>
      </c>
    </row>
    <row r="68" spans="1:40">
      <c r="A68">
        <f t="shared" si="1"/>
        <v>7.8955906754150415E-2</v>
      </c>
      <c r="B68">
        <f t="shared" si="2"/>
        <v>0.4471464243920894</v>
      </c>
      <c r="C68">
        <v>0.52254455621093798</v>
      </c>
      <c r="D68">
        <v>1763</v>
      </c>
      <c r="E68">
        <f t="shared" ref="E68:E109" si="4">F9-F68</f>
        <v>1.5999999999999999</v>
      </c>
      <c r="F68">
        <f t="shared" ref="F68:F109" si="5">SUM(H68:U68)*0.04+SUM(V68:AN68)*0.05</f>
        <v>0.08</v>
      </c>
      <c r="G68">
        <f t="shared" ref="G68:G109" si="6">SUM(H68:AN68)</f>
        <v>2</v>
      </c>
      <c r="H68">
        <f>H$2*$B$60</f>
        <v>2</v>
      </c>
    </row>
    <row r="69" spans="1:40">
      <c r="A69">
        <f t="shared" si="1"/>
        <v>8.2114143024316424E-2</v>
      </c>
      <c r="B69">
        <f t="shared" si="2"/>
        <v>0.36503228136777299</v>
      </c>
      <c r="C69">
        <v>0.448671784021484</v>
      </c>
      <c r="D69">
        <v>1764</v>
      </c>
      <c r="E69">
        <f t="shared" si="4"/>
        <v>2.1448</v>
      </c>
      <c r="F69">
        <f t="shared" si="5"/>
        <v>0.43519999999999998</v>
      </c>
      <c r="G69">
        <f t="shared" si="6"/>
        <v>10.879999999999999</v>
      </c>
      <c r="H69">
        <f>H$2*$B$61</f>
        <v>1.88</v>
      </c>
      <c r="I69">
        <f>I$2*$B$60</f>
        <v>9</v>
      </c>
    </row>
    <row r="70" spans="1:40">
      <c r="A70">
        <f t="shared" si="1"/>
        <v>8.5398708745289084E-2</v>
      </c>
      <c r="B70">
        <f t="shared" si="2"/>
        <v>0.27963357262248389</v>
      </c>
      <c r="C70">
        <v>0.37110537322255899</v>
      </c>
      <c r="D70">
        <v>1765</v>
      </c>
      <c r="E70">
        <f t="shared" si="4"/>
        <v>2.0513919999999999</v>
      </c>
      <c r="F70">
        <f t="shared" si="5"/>
        <v>0.52860799999999997</v>
      </c>
      <c r="G70">
        <f t="shared" si="6"/>
        <v>13.215199999999999</v>
      </c>
      <c r="H70">
        <f>H$2*$B$62</f>
        <v>1.7551999999999999</v>
      </c>
      <c r="I70">
        <f>I$2*$B$61</f>
        <v>8.4599999999999991</v>
      </c>
      <c r="O70">
        <f>O$2*$B$60</f>
        <v>3</v>
      </c>
    </row>
    <row r="71" spans="1:40">
      <c r="A71">
        <f t="shared" si="1"/>
        <v>8.8814657095100655E-2</v>
      </c>
      <c r="B71">
        <f t="shared" si="2"/>
        <v>0.19081891552738323</v>
      </c>
      <c r="C71">
        <v>0.28966064188368701</v>
      </c>
      <c r="D71">
        <v>1766</v>
      </c>
      <c r="E71">
        <f t="shared" si="4"/>
        <v>2.8662476799999999</v>
      </c>
      <c r="F71">
        <f t="shared" si="5"/>
        <v>0.81375231999999997</v>
      </c>
      <c r="G71">
        <f t="shared" si="6"/>
        <v>20.343807999999999</v>
      </c>
      <c r="H71">
        <f>H$2*$B$63</f>
        <v>1.6254079999999997</v>
      </c>
      <c r="I71">
        <f>I$2*$B$62</f>
        <v>7.8983999999999996</v>
      </c>
      <c r="K71">
        <f>K$2*$B$60</f>
        <v>8</v>
      </c>
      <c r="O71">
        <f>O$2*$B$61</f>
        <v>2.82</v>
      </c>
    </row>
    <row r="72" spans="1:40">
      <c r="A72">
        <f t="shared" si="1"/>
        <v>9.2367243378904673E-2</v>
      </c>
      <c r="B72">
        <f t="shared" si="2"/>
        <v>9.8451672148478553E-2</v>
      </c>
      <c r="C72">
        <v>0.204143673977871</v>
      </c>
      <c r="D72">
        <v>1767</v>
      </c>
      <c r="E72">
        <f t="shared" si="4"/>
        <v>3.3416975871999997</v>
      </c>
      <c r="F72">
        <f t="shared" si="5"/>
        <v>0.83830241279999995</v>
      </c>
      <c r="G72">
        <f t="shared" si="6"/>
        <v>20.957560319999999</v>
      </c>
      <c r="H72">
        <f>H$2*$B$64</f>
        <v>1.4904243199999998</v>
      </c>
      <c r="I72">
        <f>I$2*$B$63</f>
        <v>7.3143359999999991</v>
      </c>
      <c r="K72">
        <f>K$2*$B$61</f>
        <v>7.52</v>
      </c>
      <c r="L72">
        <f>L$2*$B$60</f>
        <v>2</v>
      </c>
      <c r="O72">
        <f>O$2*$B$62</f>
        <v>2.6327999999999996</v>
      </c>
    </row>
    <row r="73" spans="1:40">
      <c r="A73">
        <f t="shared" si="1"/>
        <v>9.606193311406086E-2</v>
      </c>
      <c r="B73">
        <f t="shared" si="2"/>
        <v>2.3897390344176928E-3</v>
      </c>
      <c r="C73">
        <v>0.11435085767676501</v>
      </c>
      <c r="D73">
        <v>1768</v>
      </c>
      <c r="E73">
        <f t="shared" si="4"/>
        <v>5.3961654906880003</v>
      </c>
      <c r="F73">
        <f t="shared" si="5"/>
        <v>2.1038345093120001</v>
      </c>
      <c r="G73">
        <f t="shared" si="6"/>
        <v>52.595862732800001</v>
      </c>
      <c r="H73">
        <f>H$2*$B$65</f>
        <v>1.3500412927999998</v>
      </c>
      <c r="I73">
        <f>I$2*$B$64</f>
        <v>6.7069094399999987</v>
      </c>
      <c r="K73">
        <f>K$2*$B$62</f>
        <v>7.0207999999999995</v>
      </c>
      <c r="L73">
        <f>L$2*$B$61</f>
        <v>1.88</v>
      </c>
      <c r="M73">
        <f>M$2*$B$60</f>
        <v>3</v>
      </c>
      <c r="O73">
        <f>O$2*$B$63</f>
        <v>2.4381119999999994</v>
      </c>
      <c r="R73">
        <f>R$2*$B$60</f>
        <v>30.2</v>
      </c>
    </row>
    <row r="74" spans="1:40">
      <c r="A74">
        <f>B73*1.04</f>
        <v>2.4853285957944006E-3</v>
      </c>
      <c r="B74">
        <v>0</v>
      </c>
      <c r="C74">
        <v>2.00684005606028E-2</v>
      </c>
      <c r="D74">
        <v>1769</v>
      </c>
      <c r="E74">
        <f t="shared" si="4"/>
        <v>5.60681211031552</v>
      </c>
      <c r="F74">
        <f t="shared" si="5"/>
        <v>2.0031878896844799</v>
      </c>
      <c r="G74">
        <f t="shared" si="6"/>
        <v>50.079697242111997</v>
      </c>
      <c r="H74">
        <f>H$2*$B$66</f>
        <v>1.2040429445119998</v>
      </c>
      <c r="I74">
        <f>I$2*$B$65</f>
        <v>6.0751858175999995</v>
      </c>
      <c r="K74">
        <f>K$2*$B$63</f>
        <v>6.501631999999999</v>
      </c>
      <c r="L74">
        <f>L$2*$B$62</f>
        <v>1.7551999999999999</v>
      </c>
      <c r="M74">
        <f>M$2*$B$61</f>
        <v>2.82</v>
      </c>
      <c r="O74">
        <f>O$2*$B$64</f>
        <v>2.2356364799999997</v>
      </c>
      <c r="R74">
        <f>R$2*$B$61</f>
        <v>28.387999999999998</v>
      </c>
      <c r="S74">
        <f>S$2*$B$60</f>
        <v>1.1000000000000001</v>
      </c>
    </row>
    <row r="75" spans="1:40">
      <c r="D75">
        <v>1770</v>
      </c>
      <c r="E75">
        <f t="shared" si="4"/>
        <v>5.759884594728141</v>
      </c>
      <c r="F75">
        <f t="shared" si="5"/>
        <v>1.8501154052718591</v>
      </c>
      <c r="G75">
        <f t="shared" si="6"/>
        <v>46.252885131796475</v>
      </c>
      <c r="H75">
        <f>H$2*$B$67</f>
        <v>1.0522046622924797</v>
      </c>
      <c r="I75">
        <f>I$2*$B$66</f>
        <v>5.4181932503039993</v>
      </c>
      <c r="K75">
        <f>K$2*$B$64</f>
        <v>5.9616972799999992</v>
      </c>
      <c r="L75">
        <f>L$2*$B$63</f>
        <v>1.6254079999999997</v>
      </c>
      <c r="M75">
        <f>M$2*$B$62</f>
        <v>2.6327999999999996</v>
      </c>
      <c r="O75">
        <f>O$2*$B$65</f>
        <v>2.0250619391999995</v>
      </c>
      <c r="R75">
        <f>R$2*$B$62</f>
        <v>26.503519999999998</v>
      </c>
      <c r="S75">
        <f>S$2*$B$61</f>
        <v>1.034</v>
      </c>
    </row>
    <row r="76" spans="1:40">
      <c r="D76">
        <v>1771</v>
      </c>
      <c r="E76">
        <f t="shared" si="4"/>
        <v>6.0990799785172669</v>
      </c>
      <c r="F76">
        <f t="shared" si="5"/>
        <v>1.8109200214827332</v>
      </c>
      <c r="G76">
        <f t="shared" si="6"/>
        <v>45.273000537068327</v>
      </c>
      <c r="H76">
        <f>H$2*$B$68</f>
        <v>0.89429284878417881</v>
      </c>
      <c r="I76">
        <f>I$2*$B$67</f>
        <v>4.7349209803161587</v>
      </c>
      <c r="K76">
        <f>K$2*$B$65</f>
        <v>5.4001651711999994</v>
      </c>
      <c r="L76">
        <f>L$2*$B$64</f>
        <v>1.4904243199999998</v>
      </c>
      <c r="M76">
        <f>M$2*$B$63</f>
        <v>2.4381119999999994</v>
      </c>
      <c r="O76">
        <f>O$2*$B$66</f>
        <v>1.8060644167679998</v>
      </c>
      <c r="R76">
        <f>R$2*$B$63</f>
        <v>24.543660799999994</v>
      </c>
      <c r="S76">
        <f>S$2*$B$62</f>
        <v>0.96536</v>
      </c>
      <c r="U76">
        <f>U$2*$B$60</f>
        <v>3</v>
      </c>
    </row>
    <row r="77" spans="1:40">
      <c r="D77">
        <v>1772</v>
      </c>
      <c r="E77">
        <f t="shared" si="4"/>
        <v>6.7718431776579582</v>
      </c>
      <c r="F77">
        <f t="shared" si="5"/>
        <v>2.1381568223420424</v>
      </c>
      <c r="G77">
        <f t="shared" si="6"/>
        <v>50.953920558551062</v>
      </c>
      <c r="H77">
        <f>H$2*$B$69</f>
        <v>0.73006456273554599</v>
      </c>
      <c r="I77">
        <f>I$2*$B$68</f>
        <v>4.0243178195288047</v>
      </c>
      <c r="K77">
        <f>K$2*$B$66</f>
        <v>4.8161717780479991</v>
      </c>
      <c r="L77">
        <f>L$2*$B$65</f>
        <v>1.3500412927999998</v>
      </c>
      <c r="M77">
        <f>M$2*$B$64</f>
        <v>2.2356364799999997</v>
      </c>
      <c r="O77">
        <f>O$2*$B$67</f>
        <v>1.5783069934387195</v>
      </c>
      <c r="R77">
        <f>R$2*$B$64</f>
        <v>22.505407231999996</v>
      </c>
      <c r="S77">
        <f>S$2*$B$63</f>
        <v>0.89397439999999995</v>
      </c>
      <c r="U77">
        <f>U$2*$B$61</f>
        <v>2.82</v>
      </c>
      <c r="V77">
        <f>V$2*$C$60</f>
        <v>10</v>
      </c>
    </row>
    <row r="78" spans="1:40">
      <c r="D78">
        <v>1773</v>
      </c>
      <c r="E78">
        <f t="shared" si="4"/>
        <v>6.9765169047642761</v>
      </c>
      <c r="F78">
        <f t="shared" si="5"/>
        <v>1.9334830952357243</v>
      </c>
      <c r="G78">
        <f t="shared" si="6"/>
        <v>45.962077380893106</v>
      </c>
      <c r="H78">
        <f>H$2*$B$70</f>
        <v>0.55926714524496779</v>
      </c>
      <c r="I78">
        <f>I$2*$B$69</f>
        <v>3.2852905323099568</v>
      </c>
      <c r="K78">
        <f>K$2*$B$67</f>
        <v>4.2088186491699187</v>
      </c>
      <c r="L78">
        <f>L$2*$B$66</f>
        <v>1.2040429445119998</v>
      </c>
      <c r="M78">
        <f>M$2*$B$65</f>
        <v>2.0250619391999995</v>
      </c>
      <c r="O78">
        <f>O$2*$B$68</f>
        <v>1.3414392731762681</v>
      </c>
      <c r="R78">
        <f>R$2*$B$65</f>
        <v>20.385623521279996</v>
      </c>
      <c r="S78">
        <f>S$2*$B$64</f>
        <v>0.81973337599999996</v>
      </c>
      <c r="U78">
        <f>U$2*$B$62</f>
        <v>2.6327999999999996</v>
      </c>
      <c r="V78">
        <f>V$2*$C$61</f>
        <v>9.5</v>
      </c>
    </row>
    <row r="79" spans="1:40">
      <c r="D79">
        <v>1774</v>
      </c>
      <c r="E79">
        <f t="shared" si="4"/>
        <v>7.2496275809548463</v>
      </c>
      <c r="F79">
        <f t="shared" si="5"/>
        <v>1.7803724190451531</v>
      </c>
      <c r="G79">
        <f t="shared" si="6"/>
        <v>41.965560476128836</v>
      </c>
      <c r="H79">
        <f>H$2*$B$71</f>
        <v>0.38163783105476645</v>
      </c>
      <c r="I79">
        <f>I$2*$B$70</f>
        <v>2.5167021536023553</v>
      </c>
      <c r="K79">
        <f>K$2*$B$68</f>
        <v>3.5771713951367152</v>
      </c>
      <c r="L79">
        <f>L$2*$B$67</f>
        <v>1.0522046622924797</v>
      </c>
      <c r="M79">
        <f>M$2*$B$66</f>
        <v>1.8060644167679998</v>
      </c>
      <c r="O79">
        <f>O$2*$B$69</f>
        <v>1.0950968441033191</v>
      </c>
      <c r="R79">
        <f>R$2*$B$66</f>
        <v>18.181048462131198</v>
      </c>
      <c r="S79">
        <f>S$2*$B$65</f>
        <v>0.74252271104000001</v>
      </c>
      <c r="U79">
        <f>U$2*$B$63</f>
        <v>2.4381119999999994</v>
      </c>
      <c r="V79">
        <f>V$2*$C$62</f>
        <v>8.9749999999999996</v>
      </c>
      <c r="X79">
        <f>X$2*$C$60</f>
        <v>1.2</v>
      </c>
    </row>
    <row r="80" spans="1:40">
      <c r="D80">
        <v>1775</v>
      </c>
      <c r="E80">
        <f t="shared" si="4"/>
        <v>7.4745251841930402</v>
      </c>
      <c r="F80">
        <f t="shared" si="5"/>
        <v>1.5554748158069593</v>
      </c>
      <c r="G80">
        <f t="shared" si="6"/>
        <v>36.495932895173986</v>
      </c>
      <c r="H80">
        <f>H$2*$B$72</f>
        <v>0.19690334429695711</v>
      </c>
      <c r="I80">
        <f>I$2*$B$71</f>
        <v>1.717370239746449</v>
      </c>
      <c r="K80">
        <f>K$2*$B$69</f>
        <v>2.9202582509421839</v>
      </c>
      <c r="L80">
        <f>L$2*$B$68</f>
        <v>0.89429284878417881</v>
      </c>
      <c r="M80">
        <f>M$2*$B$67</f>
        <v>1.5783069934387195</v>
      </c>
      <c r="O80">
        <f>O$2*$B$70</f>
        <v>0.83890071786745168</v>
      </c>
      <c r="R80">
        <f>R$2*$B$67</f>
        <v>15.888290400616443</v>
      </c>
      <c r="S80">
        <f>S$2*$B$66</f>
        <v>0.66222361948159991</v>
      </c>
      <c r="U80">
        <f>U$2*$B$64</f>
        <v>2.2356364799999997</v>
      </c>
      <c r="V80">
        <f>V$2*$C$63</f>
        <v>8.4237500000000001</v>
      </c>
      <c r="X80">
        <f>X$2*$C$61</f>
        <v>1.1399999999999999</v>
      </c>
    </row>
    <row r="81" spans="4:40">
      <c r="D81">
        <v>1776</v>
      </c>
      <c r="E81">
        <f t="shared" si="4"/>
        <v>6.0704778369701158</v>
      </c>
      <c r="F81">
        <f t="shared" si="5"/>
        <v>1.3212756834392378</v>
      </c>
      <c r="G81">
        <f t="shared" si="6"/>
        <v>30.801407710980946</v>
      </c>
      <c r="H81">
        <f>H$2*$B$73</f>
        <v>4.7794780688353855E-3</v>
      </c>
      <c r="I81">
        <f>I$2*$B$72</f>
        <v>0.88606504933630692</v>
      </c>
      <c r="K81">
        <f>K$2*$B$70</f>
        <v>2.2370685809798712</v>
      </c>
      <c r="L81">
        <f>L$2*$B$69</f>
        <v>0.73006456273554599</v>
      </c>
      <c r="M81">
        <f>M$2*$B$68</f>
        <v>1.3414392731762681</v>
      </c>
      <c r="O81">
        <f>O$2*$B$71</f>
        <v>0.57245674658214973</v>
      </c>
      <c r="R81">
        <f>R$2*$B$68</f>
        <v>13.5038220166411</v>
      </c>
      <c r="S81">
        <f>S$2*$B$67</f>
        <v>0.57871256426086382</v>
      </c>
      <c r="U81">
        <f>U$2*$B$65</f>
        <v>2.0250619391999995</v>
      </c>
      <c r="V81">
        <f>V$2*$C$64</f>
        <v>7.8449375000000003</v>
      </c>
      <c r="X81">
        <f>X$2*$C$62</f>
        <v>1.077</v>
      </c>
    </row>
    <row r="82" spans="4:40">
      <c r="D82">
        <v>1777</v>
      </c>
      <c r="E82">
        <f t="shared" si="4"/>
        <v>5.3871791041230095</v>
      </c>
      <c r="F82">
        <f t="shared" si="5"/>
        <v>1.0851888532391436</v>
      </c>
      <c r="G82">
        <f t="shared" si="6"/>
        <v>25.067712737228593</v>
      </c>
      <c r="I82">
        <f>I$2*$B$73</f>
        <v>2.1507651309759235E-2</v>
      </c>
      <c r="K82">
        <f>K$2*$B$71</f>
        <v>1.5265513242190658</v>
      </c>
      <c r="L82">
        <f>L$2*$B$70</f>
        <v>0.55926714524496779</v>
      </c>
      <c r="M82">
        <f>M$2*$B$69</f>
        <v>1.0950968441033191</v>
      </c>
      <c r="O82">
        <f>O$2*$B$72</f>
        <v>0.29535501644543566</v>
      </c>
      <c r="R82">
        <f>R$2*$B$69</f>
        <v>11.023974897306744</v>
      </c>
      <c r="S82">
        <f>S$2*$B$68</f>
        <v>0.49186106683129838</v>
      </c>
      <c r="U82">
        <f>U$2*$B$66</f>
        <v>1.8060644167679998</v>
      </c>
      <c r="V82">
        <f>V$2*$C$65</f>
        <v>7.237184375</v>
      </c>
      <c r="X82">
        <f>X$2*$C$63</f>
        <v>1.01085</v>
      </c>
    </row>
    <row r="83" spans="4:40">
      <c r="D83">
        <v>1778</v>
      </c>
      <c r="E83">
        <f t="shared" si="4"/>
        <v>5.9901496695364607</v>
      </c>
      <c r="F83">
        <f t="shared" si="5"/>
        <v>1.3038503304635403</v>
      </c>
      <c r="G83">
        <f t="shared" si="6"/>
        <v>28.601149238151002</v>
      </c>
      <c r="I83">
        <f>I$2*$C$74</f>
        <v>0.1806156050454252</v>
      </c>
      <c r="K83">
        <f>K$2*$B$72</f>
        <v>0.78761337718782842</v>
      </c>
      <c r="L83">
        <f>L$2*$B$71</f>
        <v>0.38163783105476645</v>
      </c>
      <c r="M83">
        <f>M$2*$B$70</f>
        <v>0.83890071786745168</v>
      </c>
      <c r="O83">
        <f>O$2*$B$73</f>
        <v>7.1692171032530783E-3</v>
      </c>
      <c r="R83">
        <f>R$2*$B$70</f>
        <v>8.4449338931990141</v>
      </c>
      <c r="S83">
        <f>S$2*$B$69</f>
        <v>0.4015355095045503</v>
      </c>
      <c r="U83">
        <f>U$2*$B$67</f>
        <v>1.5783069934387195</v>
      </c>
      <c r="V83">
        <f>V$2*$C$66</f>
        <v>6.5990435937500003</v>
      </c>
      <c r="X83">
        <f>X$2*$C$64</f>
        <v>0.94139249999999997</v>
      </c>
      <c r="AB83">
        <f>AB$2*$C$60</f>
        <v>8.44</v>
      </c>
    </row>
    <row r="84" spans="4:40">
      <c r="D84">
        <v>1779</v>
      </c>
      <c r="E84">
        <f t="shared" si="4"/>
        <v>5.1501476933588997</v>
      </c>
      <c r="F84">
        <f t="shared" si="5"/>
        <v>1.071190921194844</v>
      </c>
      <c r="G84">
        <f t="shared" si="6"/>
        <v>23.075908555261726</v>
      </c>
      <c r="K84">
        <f>K$2*$B$73</f>
        <v>1.9117912275341542E-2</v>
      </c>
      <c r="L84">
        <f>L$2*$B$72</f>
        <v>0.19690334429695711</v>
      </c>
      <c r="M84">
        <f>M$2*$B$71</f>
        <v>0.57245674658214973</v>
      </c>
      <c r="O84">
        <f>O$2*$C$74</f>
        <v>6.0205201681808401E-2</v>
      </c>
      <c r="R84">
        <f>R$2*$B$71</f>
        <v>5.7627312489269729</v>
      </c>
      <c r="S84">
        <f>S$2*$B$70</f>
        <v>0.30759692988473231</v>
      </c>
      <c r="U84">
        <f>U$2*$B$68</f>
        <v>1.3414392731762681</v>
      </c>
      <c r="V84">
        <f>V$2*$C$67</f>
        <v>5.9289957734374994</v>
      </c>
      <c r="X84">
        <f>X$2*$C$65</f>
        <v>0.86846212499999997</v>
      </c>
      <c r="AB84">
        <f>AB$2*$C$61</f>
        <v>8.0179999999999989</v>
      </c>
    </row>
    <row r="85" spans="4:40">
      <c r="D85">
        <v>1780</v>
      </c>
      <c r="E85">
        <f t="shared" si="4"/>
        <v>7.0972583093483426</v>
      </c>
      <c r="F85">
        <f t="shared" si="5"/>
        <v>3.1291683336306328</v>
      </c>
      <c r="G85">
        <f t="shared" si="6"/>
        <v>63.53115064242597</v>
      </c>
      <c r="K85">
        <f>K$2*$C$74</f>
        <v>0.1605472044848224</v>
      </c>
      <c r="L85">
        <f>L$2*$B$73</f>
        <v>4.7794780688353855E-3</v>
      </c>
      <c r="M85">
        <f>M$2*$B$72</f>
        <v>0.29535501644543566</v>
      </c>
      <c r="R85">
        <f>R$2*$B$72</f>
        <v>2.9732404988840524</v>
      </c>
      <c r="S85">
        <f>S$2*$B$71</f>
        <v>0.20990080708012157</v>
      </c>
      <c r="U85">
        <f>U$2*$B$69</f>
        <v>1.0950968441033191</v>
      </c>
      <c r="V85">
        <f>V$2*$C$68</f>
        <v>5.22544556210938</v>
      </c>
      <c r="X85">
        <f>X$2*$C$66</f>
        <v>0.79188523124999999</v>
      </c>
      <c r="AB85">
        <f>AB$2*$C$62</f>
        <v>7.5748999999999995</v>
      </c>
      <c r="AD85">
        <f>AD$2*$C$60</f>
        <v>45.2</v>
      </c>
    </row>
    <row r="86" spans="4:40">
      <c r="D86">
        <v>1781</v>
      </c>
      <c r="E86">
        <f t="shared" si="4"/>
        <v>5.0714538449572348</v>
      </c>
      <c r="F86">
        <f t="shared" si="5"/>
        <v>3.7050590644231529</v>
      </c>
      <c r="G86">
        <f t="shared" si="6"/>
        <v>74.314516027321986</v>
      </c>
      <c r="L86">
        <f>L$2*$C$74</f>
        <v>4.0136801121205601E-2</v>
      </c>
      <c r="M86">
        <f>M$2*$B$73</f>
        <v>7.1692171032530783E-3</v>
      </c>
      <c r="R86">
        <f>R$2*$B$73</f>
        <v>7.2170118839414321E-2</v>
      </c>
      <c r="S86">
        <f>S$2*$B$72</f>
        <v>0.10829683936332642</v>
      </c>
      <c r="U86">
        <f>U$2*$B$70</f>
        <v>0.83890071786745168</v>
      </c>
      <c r="V86">
        <f>V$2*$C$69</f>
        <v>4.4867178402148404</v>
      </c>
      <c r="X86">
        <f>X$2*$C$67</f>
        <v>0.7114794928125</v>
      </c>
      <c r="AB86">
        <f>AB$2*$C$63</f>
        <v>7.1096449999999995</v>
      </c>
      <c r="AD86">
        <f>AD$2*$C$61</f>
        <v>42.94</v>
      </c>
      <c r="AE86">
        <f>AE$2*$C$60</f>
        <v>18</v>
      </c>
    </row>
    <row r="87" spans="4:40">
      <c r="D87">
        <v>1782</v>
      </c>
      <c r="E87">
        <f t="shared" si="4"/>
        <v>5.6057678846461592</v>
      </c>
      <c r="F87">
        <f t="shared" si="5"/>
        <v>3.980965976809216</v>
      </c>
      <c r="G87">
        <f t="shared" si="6"/>
        <v>79.867590807810728</v>
      </c>
      <c r="M87">
        <f>M$2*$C$74</f>
        <v>6.0205201681808401E-2</v>
      </c>
      <c r="R87">
        <f>R$2*$C$74</f>
        <v>0.60606569693020451</v>
      </c>
      <c r="S87">
        <f>S$2*$B$73</f>
        <v>2.628712937859462E-3</v>
      </c>
      <c r="U87">
        <f>U$2*$B$71</f>
        <v>0.57245674658214973</v>
      </c>
      <c r="V87">
        <f>V$2*$C$70</f>
        <v>3.7110537322255901</v>
      </c>
      <c r="X87">
        <f>X$2*$C$68</f>
        <v>0.62705346745312551</v>
      </c>
      <c r="AB87">
        <f>AB$2*$C$64</f>
        <v>6.6211272499999998</v>
      </c>
      <c r="AD87">
        <f>AD$2*$C$62</f>
        <v>40.567</v>
      </c>
      <c r="AE87">
        <f>AE$2*$C$61</f>
        <v>17.099999999999998</v>
      </c>
      <c r="AF87">
        <f>AF$2*$C$60</f>
        <v>10</v>
      </c>
    </row>
    <row r="88" spans="4:40">
      <c r="D88">
        <v>1783</v>
      </c>
      <c r="E88">
        <f t="shared" si="4"/>
        <v>7.3366254811093849</v>
      </c>
      <c r="F88">
        <f t="shared" si="5"/>
        <v>5.105374518890617</v>
      </c>
      <c r="G88">
        <f t="shared" si="6"/>
        <v>102.17097642922475</v>
      </c>
      <c r="S88">
        <f>S$2*$C$74</f>
        <v>2.2075240616663081E-2</v>
      </c>
      <c r="U88">
        <f>U$2*$B$72</f>
        <v>0.29535501644543566</v>
      </c>
      <c r="V88">
        <f>V$2*$C$71</f>
        <v>2.8966064188368703</v>
      </c>
      <c r="X88">
        <f>X$2*$C$69</f>
        <v>0.53840614082578075</v>
      </c>
      <c r="AB88">
        <f>AB$2*$C$65</f>
        <v>6.1081836124999995</v>
      </c>
      <c r="AD88">
        <f>AD$2*$C$63</f>
        <v>38.07535</v>
      </c>
      <c r="AE88">
        <f>AE$2*$C$62</f>
        <v>16.155000000000001</v>
      </c>
      <c r="AF88">
        <f>AF$2*$C$61</f>
        <v>9.5</v>
      </c>
      <c r="AG88">
        <f>AG$2*$C$60</f>
        <v>28.580000000000002</v>
      </c>
    </row>
    <row r="89" spans="4:40">
      <c r="D89">
        <v>1784</v>
      </c>
      <c r="E89">
        <f t="shared" si="4"/>
        <v>7.5065580430647172</v>
      </c>
      <c r="F89">
        <f t="shared" si="5"/>
        <v>4.8380979427226682</v>
      </c>
      <c r="G89">
        <f t="shared" si="6"/>
        <v>96.763392697874025</v>
      </c>
      <c r="U89">
        <f>U$2*$B$73</f>
        <v>7.1692171032530783E-3</v>
      </c>
      <c r="V89">
        <f>V$2*$C$72</f>
        <v>2.0414367397787099</v>
      </c>
      <c r="X89">
        <f>X$2*$C$70</f>
        <v>0.44532644786707076</v>
      </c>
      <c r="AB89">
        <f>AB$2*$C$66</f>
        <v>5.5695927931249996</v>
      </c>
      <c r="AD89">
        <f>AD$2*$C$64</f>
        <v>35.459117500000005</v>
      </c>
      <c r="AE89">
        <f>AE$2*$C$63</f>
        <v>15.162749999999999</v>
      </c>
      <c r="AF89">
        <f>AF$2*$C$62</f>
        <v>8.9749999999999996</v>
      </c>
      <c r="AG89">
        <f>AG$2*$C$61</f>
        <v>27.151</v>
      </c>
      <c r="AH89">
        <f>AH$2*$C$60</f>
        <v>1.952</v>
      </c>
    </row>
    <row r="90" spans="4:40">
      <c r="D90">
        <v>1785</v>
      </c>
      <c r="E90">
        <f t="shared" si="4"/>
        <v>8.7069500591922626</v>
      </c>
      <c r="F90">
        <f t="shared" si="5"/>
        <v>5.3002499408077393</v>
      </c>
      <c r="G90">
        <f t="shared" si="6"/>
        <v>106.01703985649114</v>
      </c>
      <c r="U90">
        <f>U$2*$C$74</f>
        <v>6.0205201681808401E-2</v>
      </c>
      <c r="V90">
        <f>V$2*$C$73</f>
        <v>1.1435085767676501</v>
      </c>
      <c r="X90">
        <f>X$2*$C$71</f>
        <v>0.3475927702604244</v>
      </c>
      <c r="AB90">
        <f>AB$2*$C$67</f>
        <v>5.0040724327812498</v>
      </c>
      <c r="AD90">
        <f>AD$2*$C$65</f>
        <v>32.712073375000003</v>
      </c>
      <c r="AE90">
        <f>AE$2*$C$64</f>
        <v>14.1208875</v>
      </c>
      <c r="AF90">
        <f>AF$2*$C$63</f>
        <v>8.4237500000000001</v>
      </c>
      <c r="AG90">
        <f>AG$2*$C$62</f>
        <v>25.650549999999999</v>
      </c>
      <c r="AH90">
        <f>AH$2*$C$61</f>
        <v>1.8543999999999998</v>
      </c>
      <c r="AI90">
        <f>AI$2*$C$60</f>
        <v>16.7</v>
      </c>
    </row>
    <row r="91" spans="4:40">
      <c r="D91">
        <v>1786</v>
      </c>
      <c r="E91">
        <f t="shared" si="4"/>
        <v>9.1900443866225121</v>
      </c>
      <c r="F91">
        <f t="shared" si="5"/>
        <v>5.6968738193774904</v>
      </c>
      <c r="G91">
        <f t="shared" si="6"/>
        <v>113.93747638754979</v>
      </c>
      <c r="V91">
        <f>V$2*$C$74</f>
        <v>0.200684005606028</v>
      </c>
      <c r="X91">
        <f>X$2*$C$72</f>
        <v>0.2449724087734452</v>
      </c>
      <c r="AB91">
        <f>AB$2*$C$68</f>
        <v>4.4102760544203159</v>
      </c>
      <c r="AD91">
        <f>AD$2*$C$66</f>
        <v>29.827677043750004</v>
      </c>
      <c r="AE91">
        <f>AE$2*$C$65</f>
        <v>13.026931874999999</v>
      </c>
      <c r="AF91">
        <f>AF$2*$C$64</f>
        <v>7.8449375000000003</v>
      </c>
      <c r="AG91">
        <f>AG$2*$C$63</f>
        <v>24.075077500000003</v>
      </c>
      <c r="AH91">
        <f>AH$2*$C$62</f>
        <v>1.7519199999999999</v>
      </c>
      <c r="AI91">
        <f>AI$2*$C$61</f>
        <v>15.864999999999998</v>
      </c>
      <c r="AJ91">
        <f>AJ$2*$C$60</f>
        <v>16.690000000000001</v>
      </c>
    </row>
    <row r="92" spans="4:40">
      <c r="D92">
        <v>1787</v>
      </c>
      <c r="E92">
        <f t="shared" si="4"/>
        <v>9.7388283999479519</v>
      </c>
      <c r="F92">
        <f t="shared" si="5"/>
        <v>5.5373716000520474</v>
      </c>
      <c r="G92">
        <f t="shared" si="6"/>
        <v>110.74743200104095</v>
      </c>
      <c r="X92">
        <f>X$2*$C$73</f>
        <v>0.13722102921211801</v>
      </c>
      <c r="AB92">
        <f>AB$2*$C$69</f>
        <v>3.7867898571413248</v>
      </c>
      <c r="AD92">
        <f>AD$2*$C$67</f>
        <v>26.799060895937501</v>
      </c>
      <c r="AE92">
        <f>AE$2*$C$66</f>
        <v>11.87827846875</v>
      </c>
      <c r="AF92">
        <f>AF$2*$C$65</f>
        <v>7.237184375</v>
      </c>
      <c r="AG92">
        <f>AG$2*$C$64</f>
        <v>22.420831375000002</v>
      </c>
      <c r="AH92">
        <f>AH$2*$C$63</f>
        <v>1.6443159999999999</v>
      </c>
      <c r="AI92">
        <f>AI$2*$C$62</f>
        <v>14.988249999999999</v>
      </c>
      <c r="AJ92">
        <f>AJ$2*$C$61</f>
        <v>15.855500000000001</v>
      </c>
      <c r="AK92">
        <f>AK$2*$C$60</f>
        <v>6</v>
      </c>
    </row>
    <row r="93" spans="4:40">
      <c r="D93">
        <v>1788</v>
      </c>
      <c r="E93">
        <f t="shared" si="4"/>
        <v>10.13105600466535</v>
      </c>
      <c r="F93">
        <f t="shared" si="5"/>
        <v>5.0504301800546516</v>
      </c>
      <c r="G93">
        <f t="shared" si="6"/>
        <v>101.00860360109303</v>
      </c>
      <c r="X93">
        <f>X$2*$C$74</f>
        <v>2.4082080672723358E-2</v>
      </c>
      <c r="AB93">
        <f>AB$2*$C$70</f>
        <v>3.1321293499983978</v>
      </c>
      <c r="AD93">
        <f>AD$2*$C$68</f>
        <v>23.619013940734398</v>
      </c>
      <c r="AE93">
        <f>AE$2*$C$67</f>
        <v>10.672192392187499</v>
      </c>
      <c r="AF93">
        <f>AF$2*$C$66</f>
        <v>6.5990435937500003</v>
      </c>
      <c r="AG93">
        <f>AG$2*$C$65</f>
        <v>20.68387294375</v>
      </c>
      <c r="AH93">
        <f>AH$2*$C$64</f>
        <v>1.5313318</v>
      </c>
      <c r="AI93">
        <f>AI$2*$C$63</f>
        <v>14.067662499999999</v>
      </c>
      <c r="AJ93">
        <f>AJ$2*$C$62</f>
        <v>14.979275000000001</v>
      </c>
      <c r="AK93">
        <f>AK$2*$C$61</f>
        <v>5.6999999999999993</v>
      </c>
      <c r="AL93">
        <f>AL$2*$C$60</f>
        <v>0</v>
      </c>
    </row>
    <row r="94" spans="4:40">
      <c r="D94">
        <v>1789</v>
      </c>
      <c r="E94">
        <f t="shared" si="4"/>
        <v>10.862322620177938</v>
      </c>
      <c r="F94">
        <f t="shared" si="5"/>
        <v>4.7938773798220646</v>
      </c>
      <c r="G94">
        <f t="shared" si="6"/>
        <v>95.877547596441289</v>
      </c>
      <c r="AB94">
        <f>AB$2*$C$71</f>
        <v>2.444735817498318</v>
      </c>
      <c r="AD94">
        <f>AD$2*$C$69</f>
        <v>20.279964637771076</v>
      </c>
      <c r="AE94">
        <f>AE$2*$C$68</f>
        <v>9.405802011796883</v>
      </c>
      <c r="AF94">
        <f>AF$2*$C$67</f>
        <v>5.9289957734374994</v>
      </c>
      <c r="AG94">
        <f>AG$2*$C$66</f>
        <v>18.860066590937503</v>
      </c>
      <c r="AH94">
        <f>AH$2*$C$65</f>
        <v>1.4126983899999999</v>
      </c>
      <c r="AI94">
        <f>AI$2*$C$64</f>
        <v>13.101045624999999</v>
      </c>
      <c r="AJ94">
        <f>AJ$2*$C$63</f>
        <v>14.05923875</v>
      </c>
      <c r="AK94">
        <f>AK$2*$C$62</f>
        <v>5.3849999999999998</v>
      </c>
      <c r="AL94">
        <f>AL$2*$C$61</f>
        <v>0</v>
      </c>
      <c r="AM94">
        <f>AM$2*$C$60</f>
        <v>5</v>
      </c>
    </row>
    <row r="95" spans="4:40">
      <c r="D95">
        <v>1790</v>
      </c>
      <c r="E95">
        <f t="shared" si="4"/>
        <v>12.485438751186834</v>
      </c>
      <c r="F95">
        <f t="shared" si="5"/>
        <v>5.3307612488131673</v>
      </c>
      <c r="G95">
        <f t="shared" si="6"/>
        <v>106.61522497626333</v>
      </c>
      <c r="AB95">
        <f>AB$2*$C$72</f>
        <v>1.7229726083732311</v>
      </c>
      <c r="AD95">
        <f>AD$2*$C$70</f>
        <v>16.773962869659666</v>
      </c>
      <c r="AE95">
        <f>AE$2*$C$69</f>
        <v>8.0760921123867124</v>
      </c>
      <c r="AF95">
        <f>AF$2*$C$68</f>
        <v>5.22544556210938</v>
      </c>
      <c r="AG95">
        <f>AG$2*$C$67</f>
        <v>16.945069920484375</v>
      </c>
      <c r="AH95">
        <f>AH$2*$C$66</f>
        <v>1.2881333095</v>
      </c>
      <c r="AI95">
        <f>AI$2*$C$65</f>
        <v>12.086097906249998</v>
      </c>
      <c r="AJ95">
        <f>AJ$2*$C$64</f>
        <v>13.093200687500001</v>
      </c>
      <c r="AK95">
        <f>AK$2*$C$63</f>
        <v>5.0542499999999997</v>
      </c>
      <c r="AL95">
        <f>AL$2*$C$62</f>
        <v>0</v>
      </c>
      <c r="AM95">
        <f>AM$2*$C$61</f>
        <v>4.75</v>
      </c>
      <c r="AN95">
        <f>AN$2*$C$60</f>
        <v>21.6</v>
      </c>
    </row>
    <row r="96" spans="4:40">
      <c r="D96">
        <v>1791</v>
      </c>
      <c r="E96">
        <f t="shared" si="4"/>
        <v>13.109710688746173</v>
      </c>
      <c r="F96">
        <f t="shared" si="5"/>
        <v>4.7064893112538284</v>
      </c>
      <c r="G96">
        <f t="shared" si="6"/>
        <v>94.129786225076558</v>
      </c>
      <c r="AB96">
        <f>AB$2*$C$73</f>
        <v>0.9651212387918966</v>
      </c>
      <c r="AD96">
        <f>AD$2*$C$71</f>
        <v>13.092661013142653</v>
      </c>
      <c r="AE96">
        <f>AE$2*$C$70</f>
        <v>6.679896718006062</v>
      </c>
      <c r="AF96">
        <f>AF$2*$C$69</f>
        <v>4.4867178402148404</v>
      </c>
      <c r="AG96">
        <f>AG$2*$C$68</f>
        <v>14.934323416508608</v>
      </c>
      <c r="AH96">
        <f>AH$2*$C$67</f>
        <v>1.157339974975</v>
      </c>
      <c r="AI96">
        <f>AI$2*$C$66</f>
        <v>11.020402801562501</v>
      </c>
      <c r="AJ96">
        <f>AJ$2*$C$65</f>
        <v>12.078860721875001</v>
      </c>
      <c r="AK96">
        <f>AK$2*$C$64</f>
        <v>4.7069624999999995</v>
      </c>
      <c r="AL96">
        <f>AL$2*$C$63</f>
        <v>0</v>
      </c>
      <c r="AM96">
        <f>AM$2*$C$62</f>
        <v>4.4874999999999998</v>
      </c>
      <c r="AN96">
        <f>AN$2*$C$61</f>
        <v>20.52</v>
      </c>
    </row>
    <row r="97" spans="4:40">
      <c r="D97">
        <v>1792</v>
      </c>
      <c r="E97">
        <f t="shared" si="4"/>
        <v>13.099042389047483</v>
      </c>
      <c r="F97">
        <f t="shared" si="5"/>
        <v>4.0510037768165184</v>
      </c>
      <c r="G97">
        <f t="shared" si="6"/>
        <v>81.020075536330367</v>
      </c>
      <c r="AB97">
        <f>AB$2*$C$74</f>
        <v>0.16937730073148763</v>
      </c>
      <c r="AD97">
        <f>AD$2*$C$72</f>
        <v>9.2272940637997696</v>
      </c>
      <c r="AE97">
        <f>AE$2*$C$71</f>
        <v>5.2138915539063664</v>
      </c>
      <c r="AF97">
        <f>AF$2*$C$70</f>
        <v>3.7110537322255901</v>
      </c>
      <c r="AG97">
        <f>AG$2*$C$69</f>
        <v>12.823039587334014</v>
      </c>
      <c r="AH97">
        <f>AH$2*$C$68</f>
        <v>1.0200069737237509</v>
      </c>
      <c r="AI97">
        <f>AI$2*$C$67</f>
        <v>9.9014229416406252</v>
      </c>
      <c r="AJ97">
        <f>AJ$2*$C$66</f>
        <v>11.013803757968752</v>
      </c>
      <c r="AK97">
        <f>AK$2*$C$65</f>
        <v>4.3423106249999996</v>
      </c>
      <c r="AL97">
        <f>AL$2*$C$64</f>
        <v>0</v>
      </c>
      <c r="AM97">
        <f>AM$2*$C$63</f>
        <v>4.211875</v>
      </c>
      <c r="AN97">
        <f>AN$2*$C$62</f>
        <v>19.385999999999999</v>
      </c>
    </row>
    <row r="98" spans="4:40">
      <c r="D98">
        <v>1793</v>
      </c>
      <c r="E98">
        <f t="shared" si="4"/>
        <v>13.576148342631058</v>
      </c>
      <c r="F98">
        <f t="shared" si="5"/>
        <v>3.3960516573689428</v>
      </c>
      <c r="G98">
        <f t="shared" si="6"/>
        <v>67.92103314737885</v>
      </c>
      <c r="AD98">
        <f>AD$2*$C$73</f>
        <v>5.168658766989779</v>
      </c>
      <c r="AE98">
        <f>AE$2*$C$72</f>
        <v>3.6745861316016781</v>
      </c>
      <c r="AF98">
        <f>AF$2*$C$71</f>
        <v>2.8966064188368703</v>
      </c>
      <c r="AG98">
        <f>AG$2*$C$70</f>
        <v>10.606191566700737</v>
      </c>
      <c r="AH98">
        <f>AH$2*$C$69</f>
        <v>0.87580732240993675</v>
      </c>
      <c r="AI98">
        <f>AI$2*$C$68</f>
        <v>8.7264940887226636</v>
      </c>
      <c r="AJ98">
        <f>AJ$2*$C$67</f>
        <v>9.8954939458671873</v>
      </c>
      <c r="AK98">
        <f>AK$2*$C$66</f>
        <v>3.9594261562500002</v>
      </c>
      <c r="AL98">
        <f>AL$2*$C$65</f>
        <v>0</v>
      </c>
      <c r="AM98">
        <f>AM$2*$C$64</f>
        <v>3.9224687500000002</v>
      </c>
      <c r="AN98">
        <f>AN$2*$C$63</f>
        <v>18.1953</v>
      </c>
    </row>
    <row r="99" spans="4:40">
      <c r="D99">
        <v>1794</v>
      </c>
      <c r="E99">
        <f t="shared" si="4"/>
        <v>10.687402050882612</v>
      </c>
      <c r="F99">
        <f t="shared" si="5"/>
        <v>2.7172442402373886</v>
      </c>
      <c r="G99">
        <f t="shared" si="6"/>
        <v>54.344884804747771</v>
      </c>
      <c r="AD99">
        <f>AD$2*$C$74</f>
        <v>0.90709170533924666</v>
      </c>
      <c r="AE99">
        <f>AE$2*$C$73</f>
        <v>2.0583154381817703</v>
      </c>
      <c r="AF99">
        <f>AF$2*$C$72</f>
        <v>2.0414367397787099</v>
      </c>
      <c r="AG99">
        <f>AG$2*$C$71</f>
        <v>8.2785011450357757</v>
      </c>
      <c r="AH99">
        <f>AH$2*$C$70</f>
        <v>0.72439768853043518</v>
      </c>
      <c r="AI99">
        <f>AI$2*$C$69</f>
        <v>7.4928187931587829</v>
      </c>
      <c r="AJ99">
        <f>AJ$2*$C$68</f>
        <v>8.7212686431605562</v>
      </c>
      <c r="AK99">
        <f>AK$2*$C$67</f>
        <v>3.5573974640624999</v>
      </c>
      <c r="AL99">
        <f>AL$2*$C$66</f>
        <v>0</v>
      </c>
      <c r="AM99">
        <f>AM$2*$C$65</f>
        <v>3.6185921875</v>
      </c>
      <c r="AN99">
        <f>AN$2*$C$64</f>
        <v>16.945065</v>
      </c>
    </row>
    <row r="100" spans="4:40">
      <c r="D100">
        <v>1795</v>
      </c>
      <c r="E100">
        <f t="shared" si="4"/>
        <v>8.8486186330810543</v>
      </c>
      <c r="F100">
        <f t="shared" si="5"/>
        <v>2.1828741377189473</v>
      </c>
      <c r="G100">
        <f t="shared" si="6"/>
        <v>43.657482754378947</v>
      </c>
      <c r="AE100">
        <f>AE$2*$C$74</f>
        <v>0.36123121009085041</v>
      </c>
      <c r="AF100">
        <f>AF$2*$C$73</f>
        <v>1.1435085767676501</v>
      </c>
      <c r="AG100">
        <f>AG$2*$C$72</f>
        <v>5.8344262022875535</v>
      </c>
      <c r="AH100">
        <f>AH$2*$C$71</f>
        <v>0.56541757295695705</v>
      </c>
      <c r="AI100">
        <f>AI$2*$C$70</f>
        <v>6.1974597328167347</v>
      </c>
      <c r="AJ100">
        <f>AJ$2*$C$69</f>
        <v>7.4883320753185689</v>
      </c>
      <c r="AK100">
        <f>AK$2*$C$68</f>
        <v>3.1352673372656277</v>
      </c>
      <c r="AL100">
        <f>AL$2*$C$67</f>
        <v>0</v>
      </c>
      <c r="AM100">
        <f>AM$2*$C$66</f>
        <v>3.2995217968750001</v>
      </c>
      <c r="AN100">
        <f>AN$2*$C$65</f>
        <v>15.632318250000001</v>
      </c>
    </row>
    <row r="101" spans="4:40">
      <c r="D101">
        <v>1796</v>
      </c>
      <c r="E101">
        <f t="shared" si="4"/>
        <v>8.1224749999248758</v>
      </c>
      <c r="F101">
        <f t="shared" si="5"/>
        <v>1.7404432060751256</v>
      </c>
      <c r="G101">
        <f t="shared" si="6"/>
        <v>34.808864121502509</v>
      </c>
      <c r="AF101">
        <f>AF$2*$C$74</f>
        <v>0.200684005606028</v>
      </c>
      <c r="AG101">
        <f>AG$2*$C$73</f>
        <v>3.2681475124019439</v>
      </c>
      <c r="AH101">
        <f>AH$2*$C$72</f>
        <v>0.39848845160480417</v>
      </c>
      <c r="AI101">
        <f>AI$2*$C$71</f>
        <v>4.8373327194575726</v>
      </c>
      <c r="AJ101">
        <f>AJ$2*$C$70</f>
        <v>6.1937486790845098</v>
      </c>
      <c r="AK101">
        <f>AK$2*$C$69</f>
        <v>2.692030704128904</v>
      </c>
      <c r="AL101">
        <f>AL$2*$C$68</f>
        <v>0</v>
      </c>
      <c r="AM101">
        <f>AM$2*$C$67</f>
        <v>2.9644978867187497</v>
      </c>
      <c r="AN101">
        <f>AN$2*$C$66</f>
        <v>14.253934162500002</v>
      </c>
    </row>
    <row r="102" spans="4:40">
      <c r="D102">
        <v>1797</v>
      </c>
      <c r="E102">
        <f t="shared" si="4"/>
        <v>6.062113176663436</v>
      </c>
      <c r="F102">
        <f t="shared" si="5"/>
        <v>1.334319456084565</v>
      </c>
      <c r="G102">
        <f t="shared" si="6"/>
        <v>26.686389121691299</v>
      </c>
      <c r="AG102">
        <f>AG$2*$C$74</f>
        <v>0.57355488802202803</v>
      </c>
      <c r="AH102">
        <f>AH$2*$C$73</f>
        <v>0.22321287418504529</v>
      </c>
      <c r="AI102">
        <f>AI$2*$C$72</f>
        <v>3.4091993554304456</v>
      </c>
      <c r="AJ102">
        <f>AJ$2*$C$71</f>
        <v>4.8344361130387368</v>
      </c>
      <c r="AK102">
        <f>AK$2*$C$70</f>
        <v>2.2266322393353537</v>
      </c>
      <c r="AL102">
        <f>AL$2*$C$69</f>
        <v>0</v>
      </c>
      <c r="AM102">
        <f>AM$2*$C$68</f>
        <v>2.61272278105469</v>
      </c>
      <c r="AN102">
        <f>AN$2*$C$67</f>
        <v>12.806630870625</v>
      </c>
    </row>
    <row r="103" spans="4:40">
      <c r="D103">
        <v>1798</v>
      </c>
      <c r="E103">
        <f t="shared" si="4"/>
        <v>5.6089183965435634</v>
      </c>
      <c r="F103">
        <f t="shared" si="5"/>
        <v>1.0312137972676372</v>
      </c>
      <c r="G103">
        <f t="shared" si="6"/>
        <v>20.624275945352743</v>
      </c>
      <c r="AH103">
        <f>AH$2*$C$74</f>
        <v>3.9173517894296662E-2</v>
      </c>
      <c r="AI103">
        <f>AI$2*$C$73</f>
        <v>1.9096593232019754</v>
      </c>
      <c r="AJ103">
        <f>AJ$2*$C$72</f>
        <v>3.4071579186906673</v>
      </c>
      <c r="AK103">
        <f>AK$2*$C$71</f>
        <v>1.7379638513021221</v>
      </c>
      <c r="AL103">
        <f>AL$2*$C$70</f>
        <v>0</v>
      </c>
      <c r="AM103">
        <f>AM$2*$C$69</f>
        <v>2.2433589201074202</v>
      </c>
      <c r="AN103">
        <f>AN$2*$C$68</f>
        <v>11.28696241415626</v>
      </c>
    </row>
    <row r="104" spans="4:40">
      <c r="D104">
        <v>1799</v>
      </c>
      <c r="E104">
        <f t="shared" si="4"/>
        <v>4.5301315265784332</v>
      </c>
      <c r="F104">
        <f t="shared" si="5"/>
        <v>0.75076787744156759</v>
      </c>
      <c r="G104">
        <f t="shared" si="6"/>
        <v>15.01535754883135</v>
      </c>
      <c r="AI104">
        <f>AI$2*$C$74</f>
        <v>0.33514228936206675</v>
      </c>
      <c r="AJ104">
        <f>AJ$2*$C$73</f>
        <v>1.9085158146252081</v>
      </c>
      <c r="AK104">
        <f>AK$2*$C$72</f>
        <v>1.224862043867226</v>
      </c>
      <c r="AL104">
        <f>AL$2*$C$71</f>
        <v>0</v>
      </c>
      <c r="AM104">
        <f>AM$2*$C$70</f>
        <v>1.855526866112795</v>
      </c>
      <c r="AN104">
        <f>AN$2*$C$69</f>
        <v>9.6913105348640549</v>
      </c>
    </row>
    <row r="105" spans="4:40">
      <c r="D105">
        <v>1800</v>
      </c>
      <c r="E105">
        <f t="shared" si="4"/>
        <v>3.0874273846918623</v>
      </c>
      <c r="F105">
        <f t="shared" si="5"/>
        <v>0.52426130112213798</v>
      </c>
      <c r="G105">
        <f t="shared" si="6"/>
        <v>10.48522602244276</v>
      </c>
      <c r="AJ105">
        <f>AJ$2*$C$74</f>
        <v>0.33494160535646078</v>
      </c>
      <c r="AK105">
        <f>AK$2*$C$73</f>
        <v>0.68610514606059003</v>
      </c>
      <c r="AL105">
        <f>AL$2*$C$72</f>
        <v>0</v>
      </c>
      <c r="AM105">
        <f>AM$2*$C$71</f>
        <v>1.4483032094184352</v>
      </c>
      <c r="AN105">
        <f>AN$2*$C$70</f>
        <v>8.0158760616072744</v>
      </c>
    </row>
    <row r="106" spans="4:40">
      <c r="D106">
        <v>1801</v>
      </c>
      <c r="E106">
        <f t="shared" si="4"/>
        <v>2.4165409917029694</v>
      </c>
      <c r="F106">
        <f t="shared" si="5"/>
        <v>0.36988993189703062</v>
      </c>
      <c r="G106">
        <f t="shared" si="6"/>
        <v>7.3977986379406122</v>
      </c>
      <c r="AK106">
        <f>AK$2*$C$74</f>
        <v>0.1204104033636168</v>
      </c>
      <c r="AL106">
        <f>AL$2*$C$73</f>
        <v>0</v>
      </c>
      <c r="AM106">
        <f>AM$2*$C$72</f>
        <v>1.0207183698893549</v>
      </c>
      <c r="AN106">
        <f>AN$2*$C$71</f>
        <v>6.2566698646876402</v>
      </c>
    </row>
    <row r="107" spans="4:40">
      <c r="D107">
        <v>1802</v>
      </c>
      <c r="E107">
        <f t="shared" si="4"/>
        <v>2.4109371176847083</v>
      </c>
      <c r="F107">
        <f t="shared" si="5"/>
        <v>0.24906288231529194</v>
      </c>
      <c r="G107">
        <f t="shared" si="6"/>
        <v>4.9812576463058384</v>
      </c>
      <c r="AL107">
        <f>AL$2*$C$74</f>
        <v>0</v>
      </c>
      <c r="AM107">
        <f>AM$2*$C$73</f>
        <v>0.57175428838382503</v>
      </c>
      <c r="AN107">
        <f>AN$2*$C$72</f>
        <v>4.4095033579220138</v>
      </c>
    </row>
    <row r="108" spans="4:40">
      <c r="D108">
        <v>1803</v>
      </c>
      <c r="E108">
        <f t="shared" si="4"/>
        <v>2.1368430765689435</v>
      </c>
      <c r="F108">
        <f t="shared" si="5"/>
        <v>0.12851602643105695</v>
      </c>
      <c r="G108">
        <f t="shared" si="6"/>
        <v>2.5703205286211386</v>
      </c>
      <c r="AM108">
        <f>AM$2*$C$74</f>
        <v>0.100342002803014</v>
      </c>
      <c r="AN108">
        <f>AN$2*$C$73</f>
        <v>2.4699785258181244</v>
      </c>
    </row>
    <row r="109" spans="4:40">
      <c r="D109">
        <v>1804</v>
      </c>
      <c r="E109">
        <f t="shared" si="4"/>
        <v>0.43347745235454899</v>
      </c>
      <c r="F109">
        <f t="shared" si="5"/>
        <v>2.1673872605451026E-2</v>
      </c>
      <c r="G109">
        <f t="shared" si="6"/>
        <v>0.4334774521090205</v>
      </c>
      <c r="AN109">
        <f>AN$2*$C$74</f>
        <v>0.4334774521090205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16139"/>
  <sheetViews>
    <sheetView workbookViewId="0">
      <selection activeCell="A4" sqref="A4"/>
    </sheetView>
  </sheetViews>
  <sheetFormatPr defaultRowHeight="15"/>
  <cols>
    <col min="1" max="16384" width="9.140625" style="6"/>
  </cols>
  <sheetData>
    <row r="1" spans="1:20">
      <c r="B1" s="6" t="s">
        <v>16</v>
      </c>
      <c r="C1" s="6" t="s">
        <v>8</v>
      </c>
      <c r="D1" s="6" t="s">
        <v>179</v>
      </c>
      <c r="E1" s="6" t="s">
        <v>178</v>
      </c>
      <c r="F1" s="6" t="s">
        <v>177</v>
      </c>
      <c r="G1" s="6" t="s">
        <v>176</v>
      </c>
      <c r="H1" s="6" t="s">
        <v>128</v>
      </c>
      <c r="I1" s="6" t="s">
        <v>127</v>
      </c>
      <c r="J1" s="6" t="s">
        <v>58</v>
      </c>
      <c r="K1" s="6" t="s">
        <v>121</v>
      </c>
      <c r="L1" s="6" t="s">
        <v>175</v>
      </c>
      <c r="M1" s="6" t="s">
        <v>119</v>
      </c>
      <c r="N1" s="6" t="s">
        <v>118</v>
      </c>
      <c r="O1" s="6" t="s">
        <v>174</v>
      </c>
      <c r="Q1" s="6" t="s">
        <v>173</v>
      </c>
      <c r="S1" s="6" t="s">
        <v>172</v>
      </c>
    </row>
    <row r="2" spans="1:20">
      <c r="B2" s="6">
        <v>1.022</v>
      </c>
    </row>
    <row r="4" spans="1:20">
      <c r="A4" s="6">
        <v>1774</v>
      </c>
      <c r="B4" s="6">
        <f>B5*B$2</f>
        <v>-14.361394514533451</v>
      </c>
      <c r="C4" s="6">
        <f>C5-0.512</f>
        <v>-3.9730000000000003</v>
      </c>
      <c r="D4" s="6">
        <f>18*0.11+12*0.12+3.4*0.105+6*0.14+0.75*0.07+0.1+7.6*0.04+2.4/9+25.424*0.043+9*0.05+17.985*0.04+0.1336*60+32.66*0.043</f>
        <v>17.023178666666666</v>
      </c>
      <c r="E4" s="6">
        <v>0</v>
      </c>
      <c r="F4" s="6">
        <v>0</v>
      </c>
      <c r="G4" s="6">
        <v>9.0299999999999994</v>
      </c>
      <c r="H4" s="6">
        <v>17.594801499999999</v>
      </c>
      <c r="I4" s="6">
        <f>63*0.06</f>
        <v>3.78</v>
      </c>
      <c r="J4" s="6">
        <f t="shared" ref="J4:J10" si="0">SUM(B4:I4)</f>
        <v>29.093585652133214</v>
      </c>
      <c r="K4" s="6">
        <f t="shared" ref="K4:K10" si="1">SUM(B4:C4)</f>
        <v>-18.33439451453345</v>
      </c>
      <c r="L4" s="6">
        <f t="shared" ref="L4:L10" si="2">E4+K4</f>
        <v>-18.33439451453345</v>
      </c>
      <c r="M4" s="6">
        <f t="shared" ref="M4:M10" si="3">L4+G4</f>
        <v>-9.3043945145334508</v>
      </c>
      <c r="N4" s="6">
        <f t="shared" ref="N4:N10" si="4">M4+F4</f>
        <v>-9.3043945145334508</v>
      </c>
      <c r="O4" s="6">
        <f t="shared" ref="O4:O10" si="5">N4+D4</f>
        <v>7.7187841521332157</v>
      </c>
      <c r="Q4" s="6">
        <f t="shared" ref="Q4:Q10" si="6">SUM(E3:P4)</f>
        <v>11.939593246132626</v>
      </c>
      <c r="S4" s="6">
        <v>122.363443858599</v>
      </c>
      <c r="T4" s="6">
        <f t="shared" ref="T4:T9" si="7">S4/J4</f>
        <v>4.2058564152826241</v>
      </c>
    </row>
    <row r="5" spans="1:20">
      <c r="A5" s="6">
        <v>1775</v>
      </c>
      <c r="B5" s="6">
        <f>B6*B$2</f>
        <v>-14.052245121852692</v>
      </c>
      <c r="C5" s="6">
        <f>C6-0.512</f>
        <v>-3.4610000000000003</v>
      </c>
      <c r="D5" s="6">
        <f>D4+4*0.11+0.34+1+0.75-0.1*0.07-2.4/9*0.04</f>
        <v>19.535512000000001</v>
      </c>
      <c r="E5" s="6">
        <v>0</v>
      </c>
      <c r="F5" s="6">
        <v>0</v>
      </c>
      <c r="G5" s="6">
        <v>9.0299999999999994</v>
      </c>
      <c r="H5" s="6">
        <v>18.850801499999999</v>
      </c>
      <c r="I5" s="6">
        <f>78*0.06</f>
        <v>4.68</v>
      </c>
      <c r="J5" s="6">
        <f t="shared" si="0"/>
        <v>34.58306837814731</v>
      </c>
      <c r="K5" s="6">
        <f t="shared" si="1"/>
        <v>-17.513245121852691</v>
      </c>
      <c r="L5" s="6">
        <f t="shared" si="2"/>
        <v>-17.513245121852691</v>
      </c>
      <c r="M5" s="6">
        <f t="shared" si="3"/>
        <v>-8.4832451218526916</v>
      </c>
      <c r="N5" s="6">
        <f t="shared" si="4"/>
        <v>-8.4832451218526916</v>
      </c>
      <c r="O5" s="6">
        <f t="shared" si="5"/>
        <v>11.052266878147309</v>
      </c>
      <c r="Q5" s="6">
        <f t="shared" si="6"/>
        <v>38.142749515016476</v>
      </c>
      <c r="S5" s="6">
        <v>122.76220796747801</v>
      </c>
      <c r="T5" s="6">
        <f t="shared" si="7"/>
        <v>3.5497777879377006</v>
      </c>
    </row>
    <row r="6" spans="1:20">
      <c r="A6" s="6">
        <v>1776</v>
      </c>
      <c r="B6" s="6">
        <f>(B7-0.4)*B$2</f>
        <v>-13.749750608466432</v>
      </c>
      <c r="C6" s="6">
        <f>C7-0.512</f>
        <v>-2.9490000000000003</v>
      </c>
      <c r="D6" s="6">
        <f>D5+10.9349*0.05-4*0.05+0.25-0.34*0.105-0.11-0.75*0.11-0.007-2.4/9*0.04-0.59*0.043</f>
        <v>19.861020333333339</v>
      </c>
      <c r="E6" s="6">
        <v>0</v>
      </c>
      <c r="F6" s="6">
        <v>0</v>
      </c>
      <c r="G6" s="6">
        <v>7.3917535204093499</v>
      </c>
      <c r="H6" s="6">
        <v>18.538801500000002</v>
      </c>
      <c r="I6" s="6">
        <f>50.5*0.06</f>
        <v>3.03</v>
      </c>
      <c r="J6" s="6">
        <f t="shared" si="0"/>
        <v>32.122824745276255</v>
      </c>
      <c r="K6" s="6">
        <f t="shared" si="1"/>
        <v>-16.698750608466433</v>
      </c>
      <c r="L6" s="6">
        <f t="shared" si="2"/>
        <v>-16.698750608466433</v>
      </c>
      <c r="M6" s="6">
        <f t="shared" si="3"/>
        <v>-9.3069970880570843</v>
      </c>
      <c r="N6" s="6">
        <f t="shared" si="4"/>
        <v>-9.3069970880570843</v>
      </c>
      <c r="O6" s="6">
        <f t="shared" si="5"/>
        <v>10.554023245276255</v>
      </c>
      <c r="Q6" s="6">
        <f t="shared" si="6"/>
        <v>45.829063886798693</v>
      </c>
      <c r="S6" s="6">
        <v>123.08333106816499</v>
      </c>
      <c r="T6" s="6">
        <f t="shared" si="7"/>
        <v>3.8316471868267041</v>
      </c>
    </row>
    <row r="7" spans="1:20">
      <c r="A7" s="6">
        <v>1777</v>
      </c>
      <c r="B7" s="6">
        <f>(B8-1.29)*B$2</f>
        <v>-13.053767718655999</v>
      </c>
      <c r="C7" s="6">
        <f>C8-0.512-0.389</f>
        <v>-2.4370000000000003</v>
      </c>
      <c r="D7" s="6">
        <f>D6-0.6*0.05-0.22-0.34*0.105-0.007-2.4/9+2-(7.6-2.4/9*2)*0.04+4.8*0.05-0.58*0.043+4.15</f>
        <v>25.384047000000002</v>
      </c>
      <c r="E7" s="6">
        <v>0</v>
      </c>
      <c r="F7" s="6">
        <v>0</v>
      </c>
      <c r="G7" s="6">
        <v>6.4723679573621498</v>
      </c>
      <c r="H7" s="6">
        <v>18.226801500000001</v>
      </c>
      <c r="I7" s="6">
        <v>4</v>
      </c>
      <c r="J7" s="6">
        <f t="shared" si="0"/>
        <v>38.592448738706153</v>
      </c>
      <c r="K7" s="6">
        <f t="shared" si="1"/>
        <v>-15.490767718655999</v>
      </c>
      <c r="L7" s="6">
        <f t="shared" si="2"/>
        <v>-15.490767718655999</v>
      </c>
      <c r="M7" s="6">
        <f t="shared" si="3"/>
        <v>-9.0183997612938498</v>
      </c>
      <c r="N7" s="6">
        <f t="shared" si="4"/>
        <v>-9.0183997612938498</v>
      </c>
      <c r="O7" s="6">
        <f t="shared" si="5"/>
        <v>16.365647238706153</v>
      </c>
      <c r="Q7" s="6">
        <f t="shared" si="6"/>
        <v>54.264838092789581</v>
      </c>
      <c r="S7" s="6">
        <v>120.569849953264</v>
      </c>
      <c r="T7" s="6">
        <f t="shared" si="7"/>
        <v>3.124182421530016</v>
      </c>
    </row>
    <row r="8" spans="1:20">
      <c r="A8" s="6">
        <v>1778</v>
      </c>
      <c r="B8" s="6">
        <f>(B9-4.519)*B$2</f>
        <v>-11.482766847999999</v>
      </c>
      <c r="C8" s="6">
        <f>C9-0.512</f>
        <v>-1.536</v>
      </c>
      <c r="D8" s="6">
        <f>D7-0.44-10.25*0.11-12*0.12-2.72*0.105-2.34+0.5+6-6*0.14+9.5*0.05-0.007-2-0.57*0.043</f>
        <v>23.854437000000001</v>
      </c>
      <c r="E8" s="6">
        <v>2.2549999999999999</v>
      </c>
      <c r="F8" s="6">
        <v>0.3</v>
      </c>
      <c r="G8" s="6">
        <v>7.2939999999999996</v>
      </c>
      <c r="H8" s="6">
        <v>17.914801499999999</v>
      </c>
      <c r="I8" s="6">
        <v>5.4</v>
      </c>
      <c r="J8" s="6">
        <f t="shared" si="0"/>
        <v>43.999471652000004</v>
      </c>
      <c r="K8" s="6">
        <f t="shared" si="1"/>
        <v>-13.018766847999999</v>
      </c>
      <c r="L8" s="6">
        <f t="shared" si="2"/>
        <v>-10.763766847999999</v>
      </c>
      <c r="M8" s="6">
        <f t="shared" si="3"/>
        <v>-3.4697668479999999</v>
      </c>
      <c r="N8" s="6">
        <f t="shared" si="4"/>
        <v>-3.1697668480000001</v>
      </c>
      <c r="O8" s="6">
        <f t="shared" si="5"/>
        <v>20.684670152000002</v>
      </c>
      <c r="Q8" s="6">
        <f t="shared" si="6"/>
        <v>102.06480638687475</v>
      </c>
      <c r="S8" s="6">
        <v>120.711786395875</v>
      </c>
      <c r="T8" s="6">
        <f t="shared" si="7"/>
        <v>2.7434826343054057</v>
      </c>
    </row>
    <row r="9" spans="1:20">
      <c r="A9" s="6">
        <v>1779</v>
      </c>
      <c r="B9" s="6">
        <f>(B10-6.572)*B$2</f>
        <v>-6.7165840000000001</v>
      </c>
      <c r="C9" s="6">
        <f>C10-0.512</f>
        <v>-1.024</v>
      </c>
      <c r="D9" s="6">
        <f>D8-6-0.1+0.35-0.35*0.07+(0.35*0.07+0.06)/2-0.56*0.043</f>
        <v>18.098106999999999</v>
      </c>
      <c r="E9" s="6">
        <v>2.1</v>
      </c>
      <c r="F9" s="6">
        <v>0.36899999999999999</v>
      </c>
      <c r="G9" s="6">
        <v>6.2213386145537397</v>
      </c>
      <c r="H9" s="6">
        <v>18.9528015</v>
      </c>
      <c r="I9" s="6">
        <f>104*0.06</f>
        <v>6.24</v>
      </c>
      <c r="J9" s="6">
        <f t="shared" si="0"/>
        <v>44.24066311455374</v>
      </c>
      <c r="K9" s="6">
        <f t="shared" si="1"/>
        <v>-7.7405840000000001</v>
      </c>
      <c r="L9" s="6">
        <f t="shared" si="2"/>
        <v>-5.6405840000000005</v>
      </c>
      <c r="M9" s="6">
        <f t="shared" si="3"/>
        <v>0.58075461455373922</v>
      </c>
      <c r="N9" s="6">
        <f t="shared" si="4"/>
        <v>0.94975461455373922</v>
      </c>
      <c r="O9" s="6">
        <f t="shared" si="5"/>
        <v>19.047861614553739</v>
      </c>
      <c r="Q9" s="6">
        <f t="shared" si="6"/>
        <v>152.74688198476872</v>
      </c>
      <c r="S9" s="6">
        <v>124.079278624682</v>
      </c>
      <c r="T9" s="6">
        <f t="shared" si="7"/>
        <v>2.8046432826605612</v>
      </c>
    </row>
    <row r="10" spans="1:20">
      <c r="A10" s="6">
        <v>1780</v>
      </c>
      <c r="B10" s="6">
        <f>B11*B$2</f>
        <v>0</v>
      </c>
      <c r="C10" s="6">
        <f>C11-0.512</f>
        <v>-0.51200000000000001</v>
      </c>
      <c r="D10" s="6">
        <f>D9+0.06+3.3545*0.05+6.4929*0.05-0.35+0.03-0.35*0.035+1/6+9.1568*0.05-0.57*0.043</f>
        <v>18.918223666666666</v>
      </c>
      <c r="E10" s="6">
        <v>3.3077999999999999</v>
      </c>
      <c r="F10" s="6">
        <v>0.36899999999999999</v>
      </c>
      <c r="G10" s="6">
        <v>10.226426642979</v>
      </c>
      <c r="H10" s="6">
        <v>18.640801499999998</v>
      </c>
      <c r="I10" s="6">
        <f>112*0.06</f>
        <v>6.72</v>
      </c>
      <c r="J10" s="6">
        <f t="shared" si="0"/>
        <v>57.670251809645663</v>
      </c>
      <c r="K10" s="6">
        <f t="shared" si="1"/>
        <v>-0.51200000000000001</v>
      </c>
      <c r="L10" s="6">
        <f t="shared" si="2"/>
        <v>2.7957999999999998</v>
      </c>
      <c r="M10" s="6">
        <f t="shared" si="3"/>
        <v>13.022226642979</v>
      </c>
      <c r="N10" s="6">
        <f t="shared" si="4"/>
        <v>13.391226642978999</v>
      </c>
      <c r="O10" s="6">
        <f t="shared" si="5"/>
        <v>32.309450309645669</v>
      </c>
      <c r="Q10" s="6">
        <f t="shared" si="6"/>
        <v>243.26198962099699</v>
      </c>
      <c r="S10" s="6">
        <v>134.020488661895</v>
      </c>
    </row>
    <row r="241" spans="2:12">
      <c r="I241" s="6">
        <f t="shared" ref="I241:I249" si="8">EXP(D241-E241)-1</f>
        <v>0</v>
      </c>
      <c r="K241" s="6">
        <f t="shared" ref="K241:K249" si="9">EXP(E241)</f>
        <v>1</v>
      </c>
      <c r="L241" s="6">
        <f t="shared" ref="L241:L249" si="10">EXP(D241)</f>
        <v>1</v>
      </c>
    </row>
    <row r="242" spans="2:12">
      <c r="B242" s="6">
        <v>6</v>
      </c>
      <c r="C242" s="6">
        <v>1793</v>
      </c>
      <c r="D242" s="6">
        <f t="shared" ref="D242:D249" si="11">D241-$D$234+B242^2*$D$233</f>
        <v>0</v>
      </c>
      <c r="E242" s="6">
        <v>18.334204983419301</v>
      </c>
      <c r="F242" s="6">
        <f t="shared" ref="F242:F249" si="12">F241-F$234</f>
        <v>0</v>
      </c>
      <c r="G242" s="6">
        <f t="shared" ref="G242:G249" si="13">(F242-E242)/E242</f>
        <v>-1</v>
      </c>
      <c r="H242" s="6">
        <f t="shared" ref="H242:H249" si="14">EXP(F242-E242)-1</f>
        <v>-0.99999998909675059</v>
      </c>
      <c r="I242" s="6">
        <f t="shared" si="8"/>
        <v>-0.99999998909675059</v>
      </c>
      <c r="K242" s="6">
        <f t="shared" si="9"/>
        <v>91715777.993095055</v>
      </c>
      <c r="L242" s="6">
        <f t="shared" si="10"/>
        <v>1</v>
      </c>
    </row>
    <row r="243" spans="2:12">
      <c r="B243" s="6">
        <v>7</v>
      </c>
      <c r="C243" s="6">
        <v>1794</v>
      </c>
      <c r="D243" s="6">
        <f t="shared" si="11"/>
        <v>0</v>
      </c>
      <c r="E243" s="6">
        <v>18.316268113512599</v>
      </c>
      <c r="F243" s="6">
        <f t="shared" si="12"/>
        <v>0</v>
      </c>
      <c r="G243" s="6">
        <f t="shared" si="13"/>
        <v>-1</v>
      </c>
      <c r="H243" s="6">
        <f t="shared" si="14"/>
        <v>-0.99999998889941599</v>
      </c>
      <c r="I243" s="6">
        <f t="shared" si="8"/>
        <v>-0.99999998889941599</v>
      </c>
      <c r="K243" s="6">
        <f t="shared" si="9"/>
        <v>90085350.114290774</v>
      </c>
      <c r="L243" s="6">
        <f t="shared" si="10"/>
        <v>1</v>
      </c>
    </row>
    <row r="244" spans="2:12">
      <c r="B244" s="6">
        <v>8</v>
      </c>
      <c r="C244" s="6">
        <v>1795</v>
      </c>
      <c r="D244" s="6">
        <f t="shared" si="11"/>
        <v>0</v>
      </c>
      <c r="E244" s="6">
        <v>18.298165174801301</v>
      </c>
      <c r="F244" s="6">
        <f t="shared" si="12"/>
        <v>0</v>
      </c>
      <c r="G244" s="6">
        <f t="shared" si="13"/>
        <v>-1</v>
      </c>
      <c r="H244" s="6">
        <f t="shared" si="14"/>
        <v>-0.99999998869663287</v>
      </c>
      <c r="I244" s="6">
        <f t="shared" si="8"/>
        <v>-0.99999998869663287</v>
      </c>
      <c r="K244" s="6">
        <f t="shared" si="9"/>
        <v>88469213.093082741</v>
      </c>
      <c r="L244" s="6">
        <f t="shared" si="10"/>
        <v>1</v>
      </c>
    </row>
    <row r="245" spans="2:12">
      <c r="B245" s="6">
        <v>9</v>
      </c>
      <c r="C245" s="6">
        <v>1796</v>
      </c>
      <c r="D245" s="6">
        <f t="shared" si="11"/>
        <v>0</v>
      </c>
      <c r="E245" s="6">
        <v>18.2797819361673</v>
      </c>
      <c r="F245" s="6">
        <f t="shared" si="12"/>
        <v>0</v>
      </c>
      <c r="G245" s="6">
        <f t="shared" si="13"/>
        <v>-1</v>
      </c>
      <c r="H245" s="6">
        <f t="shared" si="14"/>
        <v>-0.99999998848691862</v>
      </c>
      <c r="I245" s="6">
        <f t="shared" si="8"/>
        <v>-0.99999998848691862</v>
      </c>
      <c r="K245" s="6">
        <f t="shared" si="9"/>
        <v>86857720.050152183</v>
      </c>
      <c r="L245" s="6">
        <f t="shared" si="10"/>
        <v>1</v>
      </c>
    </row>
    <row r="246" spans="2:12">
      <c r="B246" s="6">
        <v>10</v>
      </c>
      <c r="C246" s="6">
        <v>1797</v>
      </c>
      <c r="D246" s="6">
        <f t="shared" si="11"/>
        <v>0</v>
      </c>
      <c r="E246" s="6">
        <v>18.261157349978799</v>
      </c>
      <c r="F246" s="6">
        <f t="shared" si="12"/>
        <v>0</v>
      </c>
      <c r="G246" s="6">
        <f t="shared" si="13"/>
        <v>-1</v>
      </c>
      <c r="H246" s="6">
        <f t="shared" si="14"/>
        <v>-0.99999998827048298</v>
      </c>
      <c r="I246" s="6">
        <f t="shared" si="8"/>
        <v>-0.99999998827048298</v>
      </c>
      <c r="K246" s="6">
        <f t="shared" si="9"/>
        <v>85255002.263043672</v>
      </c>
      <c r="L246" s="6">
        <f t="shared" si="10"/>
        <v>1</v>
      </c>
    </row>
    <row r="247" spans="2:12">
      <c r="B247" s="6">
        <v>11</v>
      </c>
      <c r="C247" s="6">
        <v>1798</v>
      </c>
      <c r="D247" s="6">
        <f t="shared" si="11"/>
        <v>0</v>
      </c>
      <c r="E247" s="6">
        <v>18.242155207674099</v>
      </c>
      <c r="F247" s="6">
        <f t="shared" si="12"/>
        <v>0</v>
      </c>
      <c r="G247" s="6">
        <f t="shared" si="13"/>
        <v>-1</v>
      </c>
      <c r="H247" s="6">
        <f t="shared" si="14"/>
        <v>-0.99999998804546586</v>
      </c>
      <c r="I247" s="6">
        <f t="shared" si="8"/>
        <v>-0.99999998804546586</v>
      </c>
      <c r="K247" s="6">
        <f t="shared" si="9"/>
        <v>83650269.543904617</v>
      </c>
      <c r="L247" s="6">
        <f t="shared" si="10"/>
        <v>1</v>
      </c>
    </row>
    <row r="248" spans="2:12">
      <c r="B248" s="6">
        <v>12</v>
      </c>
      <c r="C248" s="6">
        <v>1799</v>
      </c>
      <c r="D248" s="6">
        <f t="shared" si="11"/>
        <v>0</v>
      </c>
      <c r="E248" s="6">
        <v>18.2228043757009</v>
      </c>
      <c r="F248" s="6">
        <f t="shared" si="12"/>
        <v>0</v>
      </c>
      <c r="G248" s="6">
        <f t="shared" si="13"/>
        <v>-1</v>
      </c>
      <c r="H248" s="6">
        <f t="shared" si="14"/>
        <v>-0.99999998781188304</v>
      </c>
      <c r="I248" s="6">
        <f t="shared" si="8"/>
        <v>-0.99999998781188304</v>
      </c>
      <c r="K248" s="6">
        <f t="shared" si="9"/>
        <v>82047128.316707596</v>
      </c>
      <c r="L248" s="6">
        <f t="shared" si="10"/>
        <v>1</v>
      </c>
    </row>
    <row r="249" spans="2:12">
      <c r="B249" s="6">
        <v>13</v>
      </c>
      <c r="C249" s="6">
        <v>1800</v>
      </c>
      <c r="D249" s="6">
        <f t="shared" si="11"/>
        <v>0</v>
      </c>
      <c r="E249" s="6">
        <v>18.203081082150401</v>
      </c>
      <c r="F249" s="6">
        <f t="shared" si="12"/>
        <v>0</v>
      </c>
      <c r="G249" s="6">
        <f t="shared" si="13"/>
        <v>-1</v>
      </c>
      <c r="H249" s="6">
        <f t="shared" si="14"/>
        <v>-0.99999998756910691</v>
      </c>
      <c r="I249" s="6">
        <f t="shared" si="8"/>
        <v>-0.99999998756910691</v>
      </c>
      <c r="K249" s="6">
        <f t="shared" si="9"/>
        <v>80444742.824433386</v>
      </c>
      <c r="L249" s="6">
        <f t="shared" si="10"/>
        <v>1</v>
      </c>
    </row>
    <row r="250" spans="2:12">
      <c r="B250" s="6">
        <v>2.3331590462580498E-302</v>
      </c>
    </row>
    <row r="291" spans="2:12">
      <c r="B291" s="6">
        <v>55</v>
      </c>
      <c r="C291" s="6">
        <v>1842</v>
      </c>
      <c r="D291" s="6">
        <f>D290-$D$234+B291^2*$D$233</f>
        <v>0</v>
      </c>
      <c r="E291" s="6">
        <v>17.1384130107893</v>
      </c>
      <c r="F291" s="6">
        <f>F290-F$234</f>
        <v>0</v>
      </c>
      <c r="G291" s="6">
        <f>(F291-E291)/E291</f>
        <v>-1</v>
      </c>
      <c r="H291" s="6">
        <f>EXP(F291-E291)-1</f>
        <v>-0.99999996395194801</v>
      </c>
      <c r="I291" s="6">
        <f>EXP(D291-E291)-1</f>
        <v>-0.99999996395194801</v>
      </c>
      <c r="K291" s="6">
        <f>EXP(E291)</f>
        <v>27740750.04254932</v>
      </c>
      <c r="L291" s="6">
        <f>EXP(D291)</f>
        <v>1</v>
      </c>
    </row>
    <row r="292" spans="2:12">
      <c r="B292" s="6">
        <v>56</v>
      </c>
      <c r="C292" s="6">
        <v>1843</v>
      </c>
      <c r="D292" s="6">
        <f>D291-$D$234+B292^2*$D$233</f>
        <v>0</v>
      </c>
      <c r="E292" s="6">
        <v>17.097246807851999</v>
      </c>
      <c r="F292" s="6">
        <f>F291-F$234</f>
        <v>0</v>
      </c>
      <c r="G292" s="6">
        <f>(F292-E292)/E292</f>
        <v>-1</v>
      </c>
      <c r="H292" s="6">
        <f>EXP(F292-E292)-1</f>
        <v>-0.99999996243701861</v>
      </c>
      <c r="I292" s="6">
        <f>EXP(D292-E292)-1</f>
        <v>-0.99999996243701861</v>
      </c>
      <c r="K292" s="6">
        <f>EXP(E292)</f>
        <v>26621954.962612946</v>
      </c>
      <c r="L292" s="6">
        <f>EXP(D292)</f>
        <v>1</v>
      </c>
    </row>
    <row r="293" spans="2:12">
      <c r="B293" s="6">
        <v>57</v>
      </c>
      <c r="C293" s="6">
        <v>1844</v>
      </c>
      <c r="D293" s="6">
        <f>4.85670177678863E-10</f>
        <v>4.8567017767886297E-10</v>
      </c>
    </row>
    <row r="16139" spans="20:20">
      <c r="T16139" s="6">
        <v>2.2519991938025301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25"/>
  <sheetViews>
    <sheetView workbookViewId="0"/>
  </sheetViews>
  <sheetFormatPr defaultRowHeight="12.75"/>
  <cols>
    <col min="1" max="12" width="9.140625" style="8"/>
    <col min="13" max="16384" width="9.140625" style="7"/>
  </cols>
  <sheetData>
    <row r="1" spans="1:9">
      <c r="A1" s="8" t="s">
        <v>189</v>
      </c>
    </row>
    <row r="2" spans="1:9">
      <c r="A2" s="8" t="s">
        <v>188</v>
      </c>
    </row>
    <row r="3" spans="1:9">
      <c r="A3" s="8" t="s">
        <v>187</v>
      </c>
    </row>
    <row r="6" spans="1:9">
      <c r="C6" s="8" t="s">
        <v>186</v>
      </c>
      <c r="F6" s="8" t="s">
        <v>185</v>
      </c>
      <c r="H6" s="8" t="s">
        <v>184</v>
      </c>
      <c r="I6" s="8" t="s">
        <v>109</v>
      </c>
    </row>
    <row r="7" spans="1:9">
      <c r="B7" s="8" t="s">
        <v>183</v>
      </c>
      <c r="D7" s="8" t="s">
        <v>182</v>
      </c>
      <c r="E7" s="8" t="s">
        <v>181</v>
      </c>
      <c r="F7" s="8" t="s">
        <v>146</v>
      </c>
      <c r="G7" s="8" t="s">
        <v>16</v>
      </c>
      <c r="H7" s="8" t="s">
        <v>180</v>
      </c>
      <c r="I7" s="8" t="s">
        <v>180</v>
      </c>
    </row>
    <row r="9" spans="1:9">
      <c r="A9" s="8">
        <v>1774</v>
      </c>
      <c r="C9" s="8">
        <v>15.576202686534501</v>
      </c>
      <c r="E9" s="9">
        <v>6.7378638321809362E-2</v>
      </c>
      <c r="H9" s="8">
        <f>I9+F9</f>
        <v>141.97967129513373</v>
      </c>
      <c r="I9" s="8">
        <v>141.97967129513373</v>
      </c>
    </row>
    <row r="10" spans="1:9">
      <c r="A10" s="8">
        <v>1775</v>
      </c>
      <c r="C10" s="8">
        <v>19.51498441827377</v>
      </c>
      <c r="E10" s="9">
        <v>5.7106126277829912E-2</v>
      </c>
      <c r="H10" s="8">
        <f>I10+F10</f>
        <v>146.28664713575202</v>
      </c>
      <c r="I10" s="8">
        <v>146.28664713575202</v>
      </c>
    </row>
    <row r="11" spans="1:9">
      <c r="A11" s="8">
        <v>1776</v>
      </c>
      <c r="B11" s="8">
        <v>24.521999999999998</v>
      </c>
      <c r="C11" s="8">
        <v>18.418049585334458</v>
      </c>
      <c r="D11" s="8">
        <f t="shared" ref="D11:D23" si="0">B11-C11</f>
        <v>6.1039504146655403</v>
      </c>
      <c r="E11" s="9">
        <v>5.6968192012463024E-2</v>
      </c>
      <c r="G11" s="8">
        <v>46</v>
      </c>
      <c r="H11" s="8">
        <f>I11+F11</f>
        <v>142.66767615349954</v>
      </c>
      <c r="I11" s="8">
        <v>142.66767615349954</v>
      </c>
    </row>
    <row r="12" spans="1:9">
      <c r="A12" s="8">
        <v>1777</v>
      </c>
      <c r="B12" s="8">
        <v>77.971999999999994</v>
      </c>
      <c r="C12" s="8">
        <v>40.926480809497093</v>
      </c>
      <c r="D12" s="8">
        <f t="shared" si="0"/>
        <v>37.045519190502901</v>
      </c>
      <c r="E12" s="9">
        <v>5.8754235475597986E-2</v>
      </c>
      <c r="F12" s="8">
        <f t="shared" ref="F12:F24" si="1">E11*D11+F11</f>
        <v>0.34773101925721978</v>
      </c>
      <c r="G12" s="8">
        <v>45.146455159846958</v>
      </c>
      <c r="H12" s="8">
        <f t="shared" ref="H12:H23" si="2">120-46+G12+F12</f>
        <v>119.49418617910419</v>
      </c>
      <c r="I12" s="8">
        <v>165.25187330026105</v>
      </c>
    </row>
    <row r="13" spans="1:9">
      <c r="A13" s="8">
        <v>1778</v>
      </c>
      <c r="B13" s="8">
        <v>106.80800000000001</v>
      </c>
      <c r="C13" s="8">
        <v>22.849190361464863</v>
      </c>
      <c r="D13" s="8">
        <f t="shared" si="0"/>
        <v>83.958809638535143</v>
      </c>
      <c r="E13" s="9">
        <v>6.1632874440879899E-2</v>
      </c>
      <c r="F13" s="8">
        <f t="shared" si="1"/>
        <v>2.5243121770918115</v>
      </c>
      <c r="G13" s="8">
        <v>44.340831271301283</v>
      </c>
      <c r="H13" s="8">
        <f t="shared" si="2"/>
        <v>120.8651434483931</v>
      </c>
      <c r="I13" s="8">
        <v>148.14706793421459</v>
      </c>
    </row>
    <row r="14" spans="1:9">
      <c r="A14" s="8">
        <v>1779</v>
      </c>
      <c r="B14" s="8">
        <v>114.849</v>
      </c>
      <c r="C14" s="8">
        <v>18.320330633039731</v>
      </c>
      <c r="D14" s="8">
        <f t="shared" si="0"/>
        <v>96.528669366960273</v>
      </c>
      <c r="E14" s="9">
        <v>6.1583398688003901E-2</v>
      </c>
      <c r="F14" s="8">
        <f t="shared" si="1"/>
        <v>7.6989349497493853</v>
      </c>
      <c r="G14" s="8">
        <v>43.549040813248368</v>
      </c>
      <c r="H14" s="8">
        <f t="shared" si="2"/>
        <v>125.24797576299775</v>
      </c>
      <c r="I14" s="8">
        <v>147.30124575594061</v>
      </c>
    </row>
    <row r="15" spans="1:9">
      <c r="A15" s="8">
        <v>1780</v>
      </c>
      <c r="B15" s="8">
        <v>76.813999999999993</v>
      </c>
      <c r="C15" s="8">
        <v>23.856617087990372</v>
      </c>
      <c r="D15" s="8">
        <f t="shared" si="0"/>
        <v>52.957382912009621</v>
      </c>
      <c r="E15" s="9">
        <v>5.9497303664108103E-2</v>
      </c>
      <c r="F15" s="8">
        <f t="shared" si="1"/>
        <v>13.643498480197408</v>
      </c>
      <c r="G15" s="8">
        <v>42.777985128037791</v>
      </c>
      <c r="H15" s="8">
        <f t="shared" si="2"/>
        <v>130.42148360823518</v>
      </c>
      <c r="I15" s="8">
        <v>162.82932908551513</v>
      </c>
    </row>
    <row r="16" spans="1:9">
      <c r="A16" s="8">
        <v>1781</v>
      </c>
      <c r="B16" s="8">
        <v>194.01599999999999</v>
      </c>
      <c r="C16" s="8">
        <v>29.455763274479608</v>
      </c>
      <c r="D16" s="8">
        <f t="shared" si="0"/>
        <v>164.56023672552038</v>
      </c>
      <c r="E16" s="9">
        <v>5.9828583162144539E-2</v>
      </c>
      <c r="F16" s="8">
        <f t="shared" si="1"/>
        <v>16.794319972569696</v>
      </c>
      <c r="G16" s="8">
        <v>42.017522521951442</v>
      </c>
      <c r="H16" s="8">
        <f t="shared" si="2"/>
        <v>132.81184249452113</v>
      </c>
      <c r="I16" s="8">
        <v>167.10009803280144</v>
      </c>
    </row>
    <row r="17" spans="1:12">
      <c r="A17" s="8">
        <v>1782</v>
      </c>
      <c r="B17" s="8">
        <v>161.42599999999999</v>
      </c>
      <c r="C17" s="8">
        <v>31.58313612659262</v>
      </c>
      <c r="D17" s="8">
        <f t="shared" si="0"/>
        <v>129.84286387340737</v>
      </c>
      <c r="E17" s="9">
        <v>5.9134319086901033E-2</v>
      </c>
      <c r="F17" s="8">
        <f t="shared" si="1"/>
        <v>26.639725780684685</v>
      </c>
      <c r="G17" s="8">
        <v>41.263725443948637</v>
      </c>
      <c r="H17" s="8">
        <f t="shared" si="2"/>
        <v>141.90345122463333</v>
      </c>
      <c r="I17" s="8">
        <v>182.03916955437722</v>
      </c>
    </row>
    <row r="18" spans="1:12">
      <c r="A18" s="8">
        <v>1783</v>
      </c>
      <c r="B18" s="8">
        <v>114.90600000000001</v>
      </c>
      <c r="C18" s="8">
        <v>34.991446542131428</v>
      </c>
      <c r="D18" s="8">
        <f t="shared" si="0"/>
        <v>79.914553457868578</v>
      </c>
      <c r="E18" s="9">
        <v>5.8372299819876121E-2</v>
      </c>
      <c r="F18" s="8">
        <f t="shared" si="1"/>
        <v>34.317895124131809</v>
      </c>
      <c r="G18" s="8">
        <v>40.512094405832613</v>
      </c>
      <c r="H18" s="8">
        <f t="shared" si="2"/>
        <v>148.82998952996442</v>
      </c>
      <c r="I18" s="8">
        <v>201.79458297667702</v>
      </c>
    </row>
    <row r="19" spans="1:12">
      <c r="A19" s="8">
        <v>1784</v>
      </c>
      <c r="B19" s="8">
        <v>264.71499999999997</v>
      </c>
      <c r="C19" s="8">
        <v>38.562162343228664</v>
      </c>
      <c r="D19" s="8">
        <f t="shared" si="0"/>
        <v>226.15283765677131</v>
      </c>
      <c r="E19" s="9">
        <v>5.8407661391197623E-2</v>
      </c>
      <c r="F19" s="8">
        <f t="shared" si="1"/>
        <v>38.982691398546031</v>
      </c>
      <c r="G19" s="8">
        <v>39.76455631411735</v>
      </c>
      <c r="H19" s="8">
        <f t="shared" si="2"/>
        <v>152.74724771266338</v>
      </c>
      <c r="I19" s="8">
        <v>211.14612809365329</v>
      </c>
    </row>
    <row r="20" spans="1:12">
      <c r="A20" s="8">
        <v>1785</v>
      </c>
      <c r="B20" s="8">
        <v>101.166</v>
      </c>
      <c r="C20" s="8">
        <v>57.251638428737039</v>
      </c>
      <c r="D20" s="8">
        <f t="shared" si="0"/>
        <v>43.914361571262958</v>
      </c>
      <c r="E20" s="9">
        <v>5.5639514486641929E-2</v>
      </c>
      <c r="F20" s="8">
        <f t="shared" si="1"/>
        <v>52.191749763061217</v>
      </c>
      <c r="G20" s="8">
        <v>39.016078419735244</v>
      </c>
      <c r="H20" s="8">
        <f t="shared" si="2"/>
        <v>165.20782818279645</v>
      </c>
      <c r="I20" s="8">
        <v>239.41691625606532</v>
      </c>
    </row>
    <row r="21" spans="1:12">
      <c r="A21" s="8">
        <v>1786</v>
      </c>
      <c r="B21" s="8">
        <v>148.57499999999999</v>
      </c>
      <c r="C21" s="8">
        <v>50.580160069039778</v>
      </c>
      <c r="D21" s="8">
        <f t="shared" si="0"/>
        <v>97.994839930960211</v>
      </c>
      <c r="E21" s="9">
        <v>5.5292137272434497E-2</v>
      </c>
      <c r="F21" s="8">
        <f t="shared" si="1"/>
        <v>54.635123519877133</v>
      </c>
      <c r="G21" s="8">
        <v>38.268342827496149</v>
      </c>
      <c r="H21" s="8">
        <f t="shared" si="2"/>
        <v>166.9034663473733</v>
      </c>
      <c r="I21" s="8">
        <v>241.94579463678301</v>
      </c>
    </row>
    <row r="22" spans="1:12">
      <c r="A22" s="8">
        <v>1787</v>
      </c>
      <c r="B22" s="8">
        <f>303.795-120</f>
        <v>183.79500000000002</v>
      </c>
      <c r="C22" s="8">
        <v>49.265116646081594</v>
      </c>
      <c r="D22" s="8">
        <f t="shared" si="0"/>
        <v>134.52988335391842</v>
      </c>
      <c r="E22" s="9">
        <v>5.7243334194175259E-2</v>
      </c>
      <c r="F22" s="8">
        <f t="shared" si="1"/>
        <v>60.053467661330032</v>
      </c>
      <c r="G22" s="8">
        <v>37.520959724417388</v>
      </c>
      <c r="H22" s="8">
        <f t="shared" si="2"/>
        <v>171.57442738574741</v>
      </c>
      <c r="I22" s="8">
        <v>260.89293387144767</v>
      </c>
    </row>
    <row r="23" spans="1:12">
      <c r="A23" s="8">
        <v>1788</v>
      </c>
      <c r="B23" s="8">
        <f>120+43.221</f>
        <v>163.221</v>
      </c>
      <c r="C23" s="8">
        <v>61.614897595758123</v>
      </c>
      <c r="D23" s="8">
        <f t="shared" si="0"/>
        <v>101.60610240424188</v>
      </c>
      <c r="E23" s="9">
        <v>6.0351980609759277E-2</v>
      </c>
      <c r="F23" s="8">
        <f t="shared" si="1"/>
        <v>67.754406733261803</v>
      </c>
      <c r="G23" s="8">
        <v>36.774562823329411</v>
      </c>
      <c r="H23" s="8">
        <f t="shared" si="2"/>
        <v>178.52896955659122</v>
      </c>
      <c r="I23" s="8">
        <v>271.53700144951767</v>
      </c>
      <c r="J23" s="8">
        <f>NPV(0.06,H24:H121)</f>
        <v>2888.4814631043164</v>
      </c>
      <c r="K23" s="8">
        <f>NPV(0.06,I24:I121)</f>
        <v>3327.0776743767897</v>
      </c>
      <c r="L23" s="8">
        <f>NPV(0.06,J24:J121)</f>
        <v>438.59621127247294</v>
      </c>
    </row>
    <row r="24" spans="1:12">
      <c r="A24" s="8">
        <v>1789</v>
      </c>
      <c r="C24" s="8">
        <v>63.224810818097296</v>
      </c>
      <c r="E24" s="9">
        <v>6.4829628351515664E-2</v>
      </c>
      <c r="F24" s="8">
        <f t="shared" si="1"/>
        <v>73.886536255395825</v>
      </c>
      <c r="G24" s="8">
        <v>36.028248960849481</v>
      </c>
      <c r="H24" s="8">
        <f t="shared" ref="H24:H55" si="3">120-46+G24+F$24</f>
        <v>183.91478521624532</v>
      </c>
      <c r="I24" s="8">
        <v>282.27027848184741</v>
      </c>
      <c r="J24" s="8">
        <f t="shared" ref="J24:J55" si="4">I24-H24</f>
        <v>98.355493265602092</v>
      </c>
    </row>
    <row r="25" spans="1:12">
      <c r="A25" s="8">
        <v>1790</v>
      </c>
      <c r="E25" s="9">
        <v>6.3417483622465659E-2</v>
      </c>
      <c r="G25" s="8">
        <v>35.286126694759453</v>
      </c>
      <c r="H25" s="8">
        <f t="shared" si="3"/>
        <v>183.17266295015526</v>
      </c>
      <c r="I25" s="8">
        <v>282.2504234966745</v>
      </c>
      <c r="J25" s="8">
        <f t="shared" si="4"/>
        <v>99.077760546519244</v>
      </c>
    </row>
    <row r="26" spans="1:12">
      <c r="A26" s="8">
        <v>1791</v>
      </c>
      <c r="E26" s="9">
        <v>5.1716748731278073E-2</v>
      </c>
      <c r="G26" s="8">
        <v>34.549245563206561</v>
      </c>
      <c r="H26" s="8">
        <f t="shared" si="3"/>
        <v>182.43578181860238</v>
      </c>
      <c r="I26" s="8">
        <v>281.65130144383943</v>
      </c>
      <c r="J26" s="8">
        <f t="shared" si="4"/>
        <v>99.21551962523705</v>
      </c>
    </row>
    <row r="27" spans="1:12">
      <c r="A27" s="8">
        <v>1792</v>
      </c>
      <c r="E27" s="9">
        <v>5.5013014937807997E-2</v>
      </c>
      <c r="G27" s="8">
        <v>33.818854594283053</v>
      </c>
      <c r="H27" s="8">
        <f t="shared" si="3"/>
        <v>181.70539084967888</v>
      </c>
      <c r="I27" s="8">
        <v>255.63981065504188</v>
      </c>
      <c r="J27" s="8">
        <f t="shared" si="4"/>
        <v>73.934419805363007</v>
      </c>
    </row>
    <row r="28" spans="1:12">
      <c r="A28" s="8">
        <v>1793</v>
      </c>
      <c r="E28" s="9">
        <v>5.7731693182692105E-2</v>
      </c>
      <c r="G28" s="8">
        <v>33.096906259855274</v>
      </c>
      <c r="H28" s="8">
        <f t="shared" si="3"/>
        <v>180.98344251525111</v>
      </c>
      <c r="I28" s="8">
        <v>247.59891796547939</v>
      </c>
      <c r="J28" s="8">
        <f t="shared" si="4"/>
        <v>66.615475450228274</v>
      </c>
    </row>
    <row r="29" spans="1:12">
      <c r="A29" s="8">
        <v>1794</v>
      </c>
      <c r="G29" s="8">
        <v>32.384212685848972</v>
      </c>
      <c r="H29" s="8">
        <f t="shared" si="3"/>
        <v>180.27074894124479</v>
      </c>
      <c r="I29" s="8">
        <v>241.50505165268001</v>
      </c>
      <c r="J29" s="8">
        <f t="shared" si="4"/>
        <v>61.23430271143522</v>
      </c>
    </row>
    <row r="30" spans="1:12">
      <c r="A30" s="8">
        <v>1795</v>
      </c>
      <c r="G30" s="8">
        <v>31.68185664339962</v>
      </c>
      <c r="H30" s="8">
        <f t="shared" si="3"/>
        <v>179.56839289879542</v>
      </c>
      <c r="I30" s="8">
        <v>234.49911860962681</v>
      </c>
      <c r="J30" s="8">
        <f t="shared" si="4"/>
        <v>54.930725710831382</v>
      </c>
    </row>
    <row r="31" spans="1:12">
      <c r="A31" s="8">
        <v>1796</v>
      </c>
      <c r="G31" s="8">
        <v>30.990469041885468</v>
      </c>
      <c r="H31" s="8">
        <f t="shared" si="3"/>
        <v>178.8770052972813</v>
      </c>
      <c r="I31" s="8">
        <v>230.48551468670388</v>
      </c>
      <c r="J31" s="8">
        <f t="shared" si="4"/>
        <v>51.608509389422579</v>
      </c>
    </row>
    <row r="32" spans="1:12">
      <c r="A32" s="8">
        <v>1797</v>
      </c>
      <c r="G32" s="8">
        <v>30.311094130094087</v>
      </c>
      <c r="H32" s="8">
        <f t="shared" si="3"/>
        <v>178.1976303854899</v>
      </c>
      <c r="I32" s="8">
        <v>215.19404108054252</v>
      </c>
      <c r="J32" s="8">
        <f t="shared" si="4"/>
        <v>36.996410695052617</v>
      </c>
    </row>
    <row r="33" spans="1:10">
      <c r="A33" s="8">
        <v>1798</v>
      </c>
      <c r="G33" s="8">
        <v>29.644132198910309</v>
      </c>
      <c r="H33" s="8">
        <f t="shared" si="3"/>
        <v>177.53066845430612</v>
      </c>
      <c r="I33" s="8">
        <v>202.72495482833958</v>
      </c>
      <c r="J33" s="8">
        <f t="shared" si="4"/>
        <v>25.194286374033453</v>
      </c>
    </row>
    <row r="34" spans="1:10">
      <c r="A34" s="8">
        <v>1799</v>
      </c>
      <c r="G34" s="8">
        <v>28.991046671967993</v>
      </c>
      <c r="H34" s="8">
        <f t="shared" si="3"/>
        <v>176.87758292736382</v>
      </c>
      <c r="I34" s="8">
        <v>199.40659514732681</v>
      </c>
      <c r="J34" s="8">
        <f t="shared" si="4"/>
        <v>22.529012219962993</v>
      </c>
    </row>
    <row r="35" spans="1:10">
      <c r="A35" s="8">
        <v>1800</v>
      </c>
      <c r="G35" s="8">
        <v>28.350157086063582</v>
      </c>
      <c r="H35" s="8">
        <f t="shared" si="3"/>
        <v>176.23669334145939</v>
      </c>
      <c r="I35" s="8">
        <v>195.78080059987647</v>
      </c>
      <c r="J35" s="8">
        <f t="shared" si="4"/>
        <v>19.544107258417085</v>
      </c>
    </row>
    <row r="36" spans="1:10">
      <c r="A36" s="8">
        <v>1801</v>
      </c>
      <c r="G36" s="8">
        <v>27.722182510251457</v>
      </c>
      <c r="H36" s="8">
        <f t="shared" si="3"/>
        <v>175.60871876564727</v>
      </c>
      <c r="I36" s="8">
        <v>192.26772532758503</v>
      </c>
      <c r="J36" s="8">
        <f t="shared" si="4"/>
        <v>16.659006561937758</v>
      </c>
    </row>
    <row r="37" spans="1:10">
      <c r="A37" s="8">
        <v>1802</v>
      </c>
      <c r="G37" s="8">
        <v>27.105707362429861</v>
      </c>
      <c r="H37" s="8">
        <f t="shared" si="3"/>
        <v>174.99224361782569</v>
      </c>
      <c r="I37" s="8">
        <v>190.16767916639657</v>
      </c>
      <c r="J37" s="8">
        <f t="shared" si="4"/>
        <v>15.175435548570874</v>
      </c>
    </row>
    <row r="38" spans="1:10">
      <c r="A38" s="8">
        <v>1803</v>
      </c>
      <c r="G38" s="8">
        <v>26.502453446148866</v>
      </c>
      <c r="H38" s="8">
        <f t="shared" si="3"/>
        <v>174.38898970154469</v>
      </c>
      <c r="I38" s="8">
        <v>186.32517730701915</v>
      </c>
      <c r="J38" s="8">
        <f t="shared" si="4"/>
        <v>11.936187605474458</v>
      </c>
    </row>
    <row r="39" spans="1:10">
      <c r="A39" s="8">
        <v>1804</v>
      </c>
      <c r="G39" s="8">
        <v>25.910653601911548</v>
      </c>
      <c r="H39" s="8">
        <f t="shared" si="3"/>
        <v>173.79718985730739</v>
      </c>
      <c r="I39" s="8">
        <v>182.83276140642201</v>
      </c>
      <c r="J39" s="8">
        <f t="shared" si="4"/>
        <v>9.0355715491146213</v>
      </c>
    </row>
    <row r="40" spans="1:10">
      <c r="A40" s="8">
        <v>1805</v>
      </c>
      <c r="G40" s="8">
        <v>25.337787027574215</v>
      </c>
      <c r="H40" s="8">
        <f t="shared" si="3"/>
        <v>173.22432328297003</v>
      </c>
      <c r="I40" s="8">
        <v>180.4585717681752</v>
      </c>
      <c r="J40" s="8">
        <f t="shared" si="4"/>
        <v>7.2342484852051712</v>
      </c>
    </row>
    <row r="41" spans="1:10">
      <c r="A41" s="8">
        <v>1806</v>
      </c>
      <c r="G41" s="8">
        <v>24.768095873082267</v>
      </c>
      <c r="H41" s="8">
        <f t="shared" si="3"/>
        <v>172.65463212847811</v>
      </c>
      <c r="I41" s="8">
        <v>178.45705285058352</v>
      </c>
      <c r="J41" s="8">
        <f t="shared" si="4"/>
        <v>5.8024207221054098</v>
      </c>
    </row>
    <row r="42" spans="1:10">
      <c r="A42" s="8">
        <v>1807</v>
      </c>
      <c r="G42" s="8">
        <v>24.209032458718795</v>
      </c>
      <c r="H42" s="8">
        <f t="shared" si="3"/>
        <v>172.09556871411462</v>
      </c>
      <c r="I42" s="8">
        <v>176.82979682268666</v>
      </c>
      <c r="J42" s="8">
        <f t="shared" si="4"/>
        <v>4.7342281085720401</v>
      </c>
    </row>
    <row r="43" spans="1:10">
      <c r="A43" s="8">
        <v>1808</v>
      </c>
      <c r="G43" s="8">
        <v>23.65852459050992</v>
      </c>
      <c r="H43" s="8">
        <f t="shared" si="3"/>
        <v>171.54506084590577</v>
      </c>
      <c r="I43" s="8">
        <v>180.47394069818591</v>
      </c>
      <c r="J43" s="8">
        <f t="shared" si="4"/>
        <v>8.9288798522801471</v>
      </c>
    </row>
    <row r="44" spans="1:10">
      <c r="A44" s="8">
        <v>1809</v>
      </c>
      <c r="G44" s="8">
        <v>23.117191376199266</v>
      </c>
      <c r="H44" s="8">
        <f t="shared" si="3"/>
        <v>171.0037276315951</v>
      </c>
      <c r="I44" s="8">
        <v>173.1438778273945</v>
      </c>
      <c r="J44" s="8">
        <f t="shared" si="4"/>
        <v>2.1401501957994071</v>
      </c>
    </row>
    <row r="45" spans="1:10">
      <c r="A45" s="8">
        <v>1810</v>
      </c>
      <c r="G45" s="8">
        <v>22.58338736161642</v>
      </c>
      <c r="H45" s="8">
        <f t="shared" si="3"/>
        <v>170.46992361701223</v>
      </c>
      <c r="I45" s="8">
        <v>168.58083789000153</v>
      </c>
      <c r="J45" s="8">
        <f t="shared" si="4"/>
        <v>-1.8890857270106949</v>
      </c>
    </row>
    <row r="46" spans="1:10">
      <c r="A46" s="8">
        <v>1811</v>
      </c>
      <c r="G46" s="8">
        <v>22.056635746325512</v>
      </c>
      <c r="H46" s="8">
        <f t="shared" si="3"/>
        <v>169.94317200172134</v>
      </c>
      <c r="I46" s="8">
        <v>156.46702358238059</v>
      </c>
      <c r="J46" s="8">
        <f t="shared" si="4"/>
        <v>-13.476148419340745</v>
      </c>
    </row>
    <row r="47" spans="1:10">
      <c r="A47" s="8">
        <v>1812</v>
      </c>
      <c r="G47" s="8">
        <v>21.543206061014448</v>
      </c>
      <c r="H47" s="8">
        <f t="shared" si="3"/>
        <v>169.42974231641028</v>
      </c>
      <c r="I47" s="8">
        <v>154.97449295275814</v>
      </c>
      <c r="J47" s="8">
        <f t="shared" si="4"/>
        <v>-14.455249363652143</v>
      </c>
    </row>
    <row r="48" spans="1:10">
      <c r="A48" s="8">
        <v>1813</v>
      </c>
      <c r="G48" s="8">
        <v>21.012381839092324</v>
      </c>
      <c r="H48" s="8">
        <f t="shared" si="3"/>
        <v>168.89891809448815</v>
      </c>
      <c r="I48" s="8">
        <v>153.50983434725075</v>
      </c>
      <c r="J48" s="8">
        <f t="shared" si="4"/>
        <v>-15.389083747237407</v>
      </c>
    </row>
    <row r="49" spans="1:10">
      <c r="A49" s="8">
        <v>1814</v>
      </c>
      <c r="G49" s="8">
        <v>20.501665765447903</v>
      </c>
      <c r="H49" s="8">
        <f t="shared" si="3"/>
        <v>168.38820202084372</v>
      </c>
      <c r="I49" s="8">
        <v>152.07469109210624</v>
      </c>
      <c r="J49" s="8">
        <f t="shared" si="4"/>
        <v>-16.313510928737486</v>
      </c>
    </row>
    <row r="50" spans="1:10">
      <c r="A50" s="8">
        <v>1815</v>
      </c>
      <c r="G50" s="8">
        <v>19.995123310223217</v>
      </c>
      <c r="H50" s="8">
        <f t="shared" si="3"/>
        <v>167.88165956561903</v>
      </c>
      <c r="I50" s="8">
        <v>148.86582808325556</v>
      </c>
      <c r="J50" s="8">
        <f t="shared" si="4"/>
        <v>-19.015831482363467</v>
      </c>
    </row>
    <row r="51" spans="1:10">
      <c r="A51" s="8">
        <v>1816</v>
      </c>
      <c r="G51" s="8">
        <v>19.491459682177513</v>
      </c>
      <c r="H51" s="8">
        <f t="shared" si="3"/>
        <v>167.37799593757336</v>
      </c>
      <c r="I51" s="8">
        <v>147.48718024871457</v>
      </c>
      <c r="J51" s="8">
        <f t="shared" si="4"/>
        <v>-19.890815688858794</v>
      </c>
    </row>
    <row r="52" spans="1:10">
      <c r="A52" s="8">
        <v>1817</v>
      </c>
      <c r="G52" s="8">
        <v>18.99009939165682</v>
      </c>
      <c r="H52" s="8">
        <f t="shared" si="3"/>
        <v>166.87663564705264</v>
      </c>
      <c r="I52" s="8">
        <v>146.13470900614175</v>
      </c>
      <c r="J52" s="8">
        <f t="shared" si="4"/>
        <v>-20.74192664091089</v>
      </c>
    </row>
    <row r="53" spans="1:10">
      <c r="A53" s="8">
        <v>1818</v>
      </c>
      <c r="G53" s="8">
        <v>18.491093277887487</v>
      </c>
      <c r="H53" s="8">
        <f t="shared" si="3"/>
        <v>166.37762953328331</v>
      </c>
      <c r="I53" s="8">
        <v>144.82550695891757</v>
      </c>
      <c r="J53" s="8">
        <f t="shared" si="4"/>
        <v>-21.55212257436574</v>
      </c>
    </row>
    <row r="54" spans="1:10">
      <c r="A54" s="8">
        <v>1819</v>
      </c>
      <c r="G54" s="8">
        <v>17.992861821450781</v>
      </c>
      <c r="H54" s="8">
        <f t="shared" si="3"/>
        <v>165.8793980768466</v>
      </c>
      <c r="I54" s="8">
        <v>143.52356186531682</v>
      </c>
      <c r="J54" s="8">
        <f t="shared" si="4"/>
        <v>-22.355836211529777</v>
      </c>
    </row>
    <row r="55" spans="1:10">
      <c r="A55" s="8">
        <v>1820</v>
      </c>
      <c r="G55" s="8">
        <v>17.494924527146829</v>
      </c>
      <c r="H55" s="8">
        <f t="shared" si="3"/>
        <v>165.38146078254266</v>
      </c>
      <c r="I55" s="8">
        <v>142.24590490399132</v>
      </c>
      <c r="J55" s="8">
        <f t="shared" si="4"/>
        <v>-23.135555878551344</v>
      </c>
    </row>
    <row r="56" spans="1:10">
      <c r="A56" s="8">
        <v>1821</v>
      </c>
      <c r="G56" s="8">
        <v>16.996812673378177</v>
      </c>
      <c r="H56" s="8">
        <f t="shared" ref="H56:H87" si="5">120-46+G56+F$24</f>
        <v>164.88334892877401</v>
      </c>
      <c r="I56" s="8">
        <v>140.59584985107401</v>
      </c>
      <c r="J56" s="8">
        <f t="shared" ref="J56:J87" si="6">I56-H56</f>
        <v>-24.287499077700005</v>
      </c>
    </row>
    <row r="57" spans="1:10">
      <c r="A57" s="8">
        <v>1822</v>
      </c>
      <c r="G57" s="8">
        <v>16.497772664108336</v>
      </c>
      <c r="H57" s="8">
        <f t="shared" si="5"/>
        <v>164.38430891950418</v>
      </c>
      <c r="I57" s="8">
        <v>135.1152866766632</v>
      </c>
      <c r="J57" s="8">
        <f t="shared" si="6"/>
        <v>-29.269022242840975</v>
      </c>
    </row>
    <row r="58" spans="1:10">
      <c r="A58" s="8">
        <v>1823</v>
      </c>
      <c r="G58" s="8">
        <v>15.997782858742431</v>
      </c>
      <c r="H58" s="8">
        <f t="shared" si="5"/>
        <v>163.88431911413824</v>
      </c>
      <c r="I58" s="8">
        <v>133.89535634730726</v>
      </c>
      <c r="J58" s="8">
        <f t="shared" si="6"/>
        <v>-29.98896276683098</v>
      </c>
    </row>
    <row r="59" spans="1:10">
      <c r="A59" s="8">
        <v>1824</v>
      </c>
      <c r="G59" s="8">
        <v>15.495386563222498</v>
      </c>
      <c r="H59" s="8">
        <f t="shared" si="5"/>
        <v>163.38192281861831</v>
      </c>
      <c r="I59" s="8">
        <v>132.69154323617363</v>
      </c>
      <c r="J59" s="8">
        <f t="shared" si="6"/>
        <v>-30.690379582444677</v>
      </c>
    </row>
    <row r="60" spans="1:10">
      <c r="A60" s="8">
        <v>1825</v>
      </c>
      <c r="G60" s="8">
        <v>14.990479025702527</v>
      </c>
      <c r="H60" s="8">
        <f t="shared" si="5"/>
        <v>162.87701528109835</v>
      </c>
      <c r="I60" s="8">
        <v>131.57698284041703</v>
      </c>
      <c r="J60" s="8">
        <f t="shared" si="6"/>
        <v>-31.300032440681321</v>
      </c>
    </row>
    <row r="61" spans="1:10">
      <c r="A61" s="8">
        <v>1826</v>
      </c>
      <c r="G61" s="8">
        <v>14.482591586460797</v>
      </c>
      <c r="H61" s="8">
        <f t="shared" si="5"/>
        <v>162.36912784185662</v>
      </c>
      <c r="I61" s="8">
        <v>129.65240497797322</v>
      </c>
      <c r="J61" s="8">
        <f t="shared" si="6"/>
        <v>-32.716722863883405</v>
      </c>
    </row>
    <row r="62" spans="1:10">
      <c r="A62" s="8">
        <v>1827</v>
      </c>
      <c r="G62" s="8">
        <v>13.971702871837781</v>
      </c>
      <c r="H62" s="8">
        <f t="shared" si="5"/>
        <v>161.85823912723362</v>
      </c>
      <c r="I62" s="8">
        <v>128.4852387317334</v>
      </c>
      <c r="J62" s="8">
        <f t="shared" si="6"/>
        <v>-33.373000395500213</v>
      </c>
    </row>
    <row r="63" spans="1:10">
      <c r="A63" s="8">
        <v>1828</v>
      </c>
      <c r="G63" s="8">
        <v>13.457211684759907</v>
      </c>
      <c r="H63" s="8">
        <f t="shared" si="5"/>
        <v>161.34374794015574</v>
      </c>
      <c r="I63" s="8">
        <v>127.32761067470591</v>
      </c>
      <c r="J63" s="8">
        <f t="shared" si="6"/>
        <v>-34.016137265449828</v>
      </c>
    </row>
    <row r="64" spans="1:10">
      <c r="A64" s="8">
        <v>1829</v>
      </c>
      <c r="G64" s="8">
        <v>12.938814004828066</v>
      </c>
      <c r="H64" s="8">
        <f t="shared" si="5"/>
        <v>160.8253502602239</v>
      </c>
      <c r="I64" s="8">
        <v>126.1765617525157</v>
      </c>
      <c r="J64" s="8">
        <f t="shared" si="6"/>
        <v>-34.648788507708204</v>
      </c>
    </row>
    <row r="65" spans="1:10">
      <c r="A65" s="8">
        <v>1830</v>
      </c>
      <c r="G65" s="8">
        <v>12.41698667764333</v>
      </c>
      <c r="H65" s="8">
        <f t="shared" si="5"/>
        <v>160.30352293303918</v>
      </c>
      <c r="I65" s="8">
        <v>125.03077676845396</v>
      </c>
      <c r="J65" s="8">
        <f t="shared" si="6"/>
        <v>-35.272746164585215</v>
      </c>
    </row>
    <row r="66" spans="1:10">
      <c r="A66" s="8">
        <v>1831</v>
      </c>
      <c r="G66" s="8">
        <v>11.89118495245048</v>
      </c>
      <c r="H66" s="8">
        <f t="shared" si="5"/>
        <v>159.7777212078463</v>
      </c>
      <c r="I66" s="8">
        <v>123.89037190807281</v>
      </c>
      <c r="J66" s="8">
        <f t="shared" si="6"/>
        <v>-35.88734929977349</v>
      </c>
    </row>
    <row r="67" spans="1:10">
      <c r="A67" s="8">
        <v>1832</v>
      </c>
      <c r="G67" s="8">
        <v>11.361435995424642</v>
      </c>
      <c r="H67" s="8">
        <f t="shared" si="5"/>
        <v>159.24797225082045</v>
      </c>
      <c r="I67" s="8">
        <v>122.75173741274909</v>
      </c>
      <c r="J67" s="8">
        <f t="shared" si="6"/>
        <v>-36.496234838071359</v>
      </c>
    </row>
    <row r="68" spans="1:10">
      <c r="A68" s="8">
        <v>1833</v>
      </c>
      <c r="G68" s="8">
        <v>10.818948543252739</v>
      </c>
      <c r="H68" s="8">
        <f t="shared" si="5"/>
        <v>158.70548479864857</v>
      </c>
      <c r="I68" s="8">
        <v>121.61377518158542</v>
      </c>
      <c r="J68" s="8">
        <f t="shared" si="6"/>
        <v>-37.091709617063145</v>
      </c>
    </row>
    <row r="69" spans="1:10">
      <c r="A69" s="8">
        <v>1834</v>
      </c>
      <c r="G69" s="8">
        <v>10.283480381252653</v>
      </c>
      <c r="H69" s="8">
        <f t="shared" si="5"/>
        <v>158.17001663664848</v>
      </c>
      <c r="I69" s="8">
        <v>120.47541402051593</v>
      </c>
      <c r="J69" s="8">
        <f t="shared" si="6"/>
        <v>-37.694602616132556</v>
      </c>
    </row>
    <row r="70" spans="1:10">
      <c r="A70" s="8">
        <v>1835</v>
      </c>
      <c r="G70" s="8">
        <v>9.7459632561120859</v>
      </c>
      <c r="H70" s="8">
        <f t="shared" si="5"/>
        <v>157.63249951150792</v>
      </c>
      <c r="I70" s="8">
        <v>119.33493169696858</v>
      </c>
      <c r="J70" s="8">
        <f t="shared" si="6"/>
        <v>-38.297567814539335</v>
      </c>
    </row>
    <row r="71" spans="1:10">
      <c r="A71" s="8">
        <v>1836</v>
      </c>
      <c r="G71" s="8">
        <v>9.2064467431299377</v>
      </c>
      <c r="H71" s="8">
        <f t="shared" si="5"/>
        <v>157.09298299852577</v>
      </c>
      <c r="I71" s="8">
        <v>118.1922787545562</v>
      </c>
      <c r="J71" s="8">
        <f t="shared" si="6"/>
        <v>-38.900704243969571</v>
      </c>
    </row>
    <row r="72" spans="1:10">
      <c r="A72" s="8">
        <v>1837</v>
      </c>
      <c r="G72" s="8">
        <v>8.6660779571883637</v>
      </c>
      <c r="H72" s="8">
        <f t="shared" si="5"/>
        <v>156.55261421258419</v>
      </c>
      <c r="I72" s="8">
        <v>117.04412613389862</v>
      </c>
      <c r="J72" s="8">
        <f t="shared" si="6"/>
        <v>-39.508488078685573</v>
      </c>
    </row>
    <row r="73" spans="1:10">
      <c r="A73" s="8">
        <v>1838</v>
      </c>
      <c r="G73" s="8">
        <v>8.1271088600444994</v>
      </c>
      <c r="H73" s="8">
        <f t="shared" si="5"/>
        <v>156.01364511544034</v>
      </c>
      <c r="I73" s="8">
        <v>115.89023444010463</v>
      </c>
      <c r="J73" s="8">
        <f t="shared" si="6"/>
        <v>-40.123410675335705</v>
      </c>
    </row>
    <row r="74" spans="1:10">
      <c r="A74" s="8">
        <v>1839</v>
      </c>
      <c r="G74" s="8">
        <v>7.590099372828754</v>
      </c>
      <c r="H74" s="8">
        <f t="shared" si="5"/>
        <v>155.47663562822459</v>
      </c>
      <c r="I74" s="8">
        <v>114.72953262051622</v>
      </c>
      <c r="J74" s="8">
        <f t="shared" si="6"/>
        <v>-40.747103007708361</v>
      </c>
    </row>
    <row r="75" spans="1:10">
      <c r="A75" s="8">
        <v>1840</v>
      </c>
      <c r="G75" s="8">
        <v>7.0570004457560129</v>
      </c>
      <c r="H75" s="8">
        <f t="shared" si="5"/>
        <v>154.94353670115186</v>
      </c>
      <c r="I75" s="8">
        <v>113.56197182878756</v>
      </c>
      <c r="J75" s="8">
        <f t="shared" si="6"/>
        <v>-41.381564872364294</v>
      </c>
    </row>
    <row r="76" spans="1:10">
      <c r="A76" s="8">
        <v>1841</v>
      </c>
      <c r="G76" s="8">
        <v>6.5296051348220194</v>
      </c>
      <c r="H76" s="8">
        <f t="shared" si="5"/>
        <v>154.41614139021783</v>
      </c>
      <c r="I76" s="8">
        <v>112.3861781176947</v>
      </c>
      <c r="J76" s="8">
        <f t="shared" si="6"/>
        <v>-42.029963272523133</v>
      </c>
    </row>
    <row r="77" spans="1:10">
      <c r="A77" s="8">
        <v>1842</v>
      </c>
      <c r="G77" s="8">
        <v>6.0093958448113716</v>
      </c>
      <c r="H77" s="8">
        <f t="shared" si="5"/>
        <v>153.89593210020718</v>
      </c>
      <c r="I77" s="8">
        <v>111.2014566934641</v>
      </c>
      <c r="J77" s="8">
        <f t="shared" si="6"/>
        <v>-42.694475406743081</v>
      </c>
    </row>
    <row r="78" spans="1:10">
      <c r="A78" s="8">
        <v>1843</v>
      </c>
      <c r="G78" s="8">
        <v>5.4996201358947667</v>
      </c>
      <c r="H78" s="8">
        <f t="shared" si="5"/>
        <v>153.3861563912906</v>
      </c>
      <c r="I78" s="8">
        <v>110.00889731637346</v>
      </c>
      <c r="J78" s="8">
        <f t="shared" si="6"/>
        <v>-43.377259074917134</v>
      </c>
    </row>
    <row r="79" spans="1:10">
      <c r="A79" s="8">
        <v>1844</v>
      </c>
      <c r="G79" s="8">
        <v>5.0019461751362249</v>
      </c>
      <c r="H79" s="8">
        <f t="shared" si="5"/>
        <v>152.88848243053206</v>
      </c>
      <c r="I79" s="8">
        <v>108.80725503893255</v>
      </c>
      <c r="J79" s="8">
        <f t="shared" si="6"/>
        <v>-44.081227391599512</v>
      </c>
    </row>
    <row r="80" spans="1:10">
      <c r="A80" s="8">
        <v>1845</v>
      </c>
      <c r="G80" s="8">
        <v>4.519008538328241</v>
      </c>
      <c r="H80" s="8">
        <f t="shared" si="5"/>
        <v>152.40554479372406</v>
      </c>
      <c r="I80" s="8">
        <v>107.59659194542712</v>
      </c>
      <c r="J80" s="8">
        <f t="shared" si="6"/>
        <v>-44.80895284829694</v>
      </c>
    </row>
    <row r="81" spans="1:10">
      <c r="A81" s="8">
        <v>1846</v>
      </c>
      <c r="G81" s="8">
        <v>4.0536806081357977</v>
      </c>
      <c r="H81" s="8">
        <f t="shared" si="5"/>
        <v>151.94021686353162</v>
      </c>
      <c r="I81" s="8">
        <v>106.35681690042918</v>
      </c>
      <c r="J81" s="8">
        <f t="shared" si="6"/>
        <v>-45.583399963102437</v>
      </c>
    </row>
    <row r="82" spans="1:10">
      <c r="A82" s="8">
        <v>1847</v>
      </c>
      <c r="G82" s="8">
        <v>3.6076964539189338</v>
      </c>
      <c r="H82" s="8">
        <f t="shared" si="5"/>
        <v>151.49423270931476</v>
      </c>
      <c r="I82" s="8">
        <v>105.1330834076437</v>
      </c>
      <c r="J82" s="8">
        <f t="shared" si="6"/>
        <v>-46.361149301671063</v>
      </c>
    </row>
    <row r="83" spans="1:10">
      <c r="A83" s="8">
        <v>1848</v>
      </c>
      <c r="G83" s="8">
        <v>3.1838712269408496</v>
      </c>
      <c r="H83" s="8">
        <f t="shared" si="5"/>
        <v>151.07040748233669</v>
      </c>
      <c r="I83" s="8">
        <v>103.90466731186063</v>
      </c>
      <c r="J83" s="8">
        <f t="shared" si="6"/>
        <v>-47.165740170476056</v>
      </c>
    </row>
    <row r="84" spans="1:10">
      <c r="A84" s="8">
        <v>1849</v>
      </c>
      <c r="G84" s="8">
        <v>2.7845241979416322</v>
      </c>
      <c r="H84" s="8">
        <f t="shared" si="5"/>
        <v>150.67106045333747</v>
      </c>
      <c r="I84" s="8">
        <v>102.67168191011235</v>
      </c>
      <c r="J84" s="8">
        <f t="shared" si="6"/>
        <v>-47.99937854322512</v>
      </c>
    </row>
    <row r="85" spans="1:10">
      <c r="A85" s="8">
        <v>1850</v>
      </c>
      <c r="G85" s="8">
        <v>2.411300373554234</v>
      </c>
      <c r="H85" s="8">
        <f t="shared" si="5"/>
        <v>150.29783662895005</v>
      </c>
      <c r="I85" s="8">
        <v>101.43674876424134</v>
      </c>
      <c r="J85" s="8">
        <f t="shared" si="6"/>
        <v>-48.861087864708708</v>
      </c>
    </row>
    <row r="86" spans="1:10">
      <c r="A86" s="8">
        <v>1851</v>
      </c>
      <c r="G86" s="8">
        <v>2.0672538356369672</v>
      </c>
      <c r="H86" s="8">
        <f t="shared" si="5"/>
        <v>149.95379009103277</v>
      </c>
      <c r="I86" s="8">
        <v>100.20501440063749</v>
      </c>
      <c r="J86" s="8">
        <f t="shared" si="6"/>
        <v>-49.748775690395277</v>
      </c>
    </row>
    <row r="87" spans="1:10">
      <c r="A87" s="8">
        <v>1852</v>
      </c>
      <c r="G87" s="8">
        <v>1.7521725456624002</v>
      </c>
      <c r="H87" s="8">
        <f t="shared" si="5"/>
        <v>149.63870880105821</v>
      </c>
      <c r="I87" s="8">
        <v>98.977758436445612</v>
      </c>
      <c r="J87" s="8">
        <f t="shared" si="6"/>
        <v>-50.660950364612603</v>
      </c>
    </row>
    <row r="88" spans="1:10">
      <c r="A88" s="8">
        <v>1853</v>
      </c>
      <c r="G88" s="8">
        <v>1.4676572958372809</v>
      </c>
      <c r="H88" s="8">
        <f t="shared" ref="H88:H119" si="7">120-46+G88+F$24</f>
        <v>149.3541935512331</v>
      </c>
      <c r="I88" s="8">
        <v>97.759439480580568</v>
      </c>
      <c r="J88" s="8">
        <f t="shared" ref="J88:J119" si="8">I88-H88</f>
        <v>-51.594754070652527</v>
      </c>
    </row>
    <row r="89" spans="1:10">
      <c r="A89" s="8">
        <v>1854</v>
      </c>
      <c r="G89" s="8">
        <v>1.2137718533626236</v>
      </c>
      <c r="H89" s="8">
        <f t="shared" si="7"/>
        <v>149.10030810875844</v>
      </c>
      <c r="I89" s="8">
        <v>96.554155298011679</v>
      </c>
      <c r="J89" s="8">
        <f t="shared" si="8"/>
        <v>-52.546152810746761</v>
      </c>
    </row>
    <row r="90" spans="1:10">
      <c r="A90" s="8">
        <v>1855</v>
      </c>
      <c r="G90" s="8">
        <v>0.98950218766305975</v>
      </c>
      <c r="H90" s="8">
        <f t="shared" si="7"/>
        <v>148.87603844305889</v>
      </c>
      <c r="I90" s="8">
        <v>95.365293706191977</v>
      </c>
      <c r="J90" s="8">
        <f t="shared" si="8"/>
        <v>-53.510744736866911</v>
      </c>
    </row>
    <row r="91" spans="1:10">
      <c r="A91" s="8">
        <v>1856</v>
      </c>
      <c r="G91" s="8">
        <v>0.79510552624677633</v>
      </c>
      <c r="H91" s="8">
        <f t="shared" si="7"/>
        <v>148.68164178164261</v>
      </c>
      <c r="I91" s="8">
        <v>94.200276524816388</v>
      </c>
      <c r="J91" s="8">
        <f t="shared" si="8"/>
        <v>-54.481365256826223</v>
      </c>
    </row>
    <row r="92" spans="1:10">
      <c r="A92" s="8">
        <v>1857</v>
      </c>
      <c r="G92" s="8">
        <v>0.62854104312390713</v>
      </c>
      <c r="H92" s="8">
        <f t="shared" si="7"/>
        <v>148.51507729851971</v>
      </c>
      <c r="I92" s="8">
        <v>93.062916103624175</v>
      </c>
      <c r="J92" s="8">
        <f t="shared" si="8"/>
        <v>-55.452161194895538</v>
      </c>
    </row>
    <row r="93" spans="1:10">
      <c r="A93" s="8">
        <v>1858</v>
      </c>
      <c r="G93" s="8">
        <v>0.48833604832845456</v>
      </c>
      <c r="H93" s="8">
        <f t="shared" si="7"/>
        <v>148.37487230372426</v>
      </c>
      <c r="I93" s="8">
        <v>91.959233376940404</v>
      </c>
      <c r="J93" s="8">
        <f t="shared" si="8"/>
        <v>-56.415638926783856</v>
      </c>
    </row>
    <row r="94" spans="1:10">
      <c r="A94" s="8">
        <v>1859</v>
      </c>
      <c r="G94" s="8">
        <v>0.3723854810686425</v>
      </c>
      <c r="H94" s="8">
        <f t="shared" si="7"/>
        <v>148.25892173646446</v>
      </c>
      <c r="I94" s="8">
        <v>90.895795036968764</v>
      </c>
      <c r="J94" s="8">
        <f t="shared" si="8"/>
        <v>-57.363126699495695</v>
      </c>
    </row>
    <row r="95" spans="1:10">
      <c r="A95" s="8">
        <v>1860</v>
      </c>
      <c r="G95" s="8">
        <v>0.27699295860658368</v>
      </c>
      <c r="H95" s="8">
        <f t="shared" si="7"/>
        <v>148.16352921400241</v>
      </c>
      <c r="I95" s="8">
        <v>89.876564043424281</v>
      </c>
      <c r="J95" s="8">
        <f t="shared" si="8"/>
        <v>-58.286965170578128</v>
      </c>
    </row>
    <row r="96" spans="1:10">
      <c r="A96" s="8">
        <v>1861</v>
      </c>
      <c r="G96" s="8">
        <v>0.20168872457700218</v>
      </c>
      <c r="H96" s="8">
        <f t="shared" si="7"/>
        <v>148.08822497997284</v>
      </c>
      <c r="I96" s="8">
        <v>88.907974009232092</v>
      </c>
      <c r="J96" s="8">
        <f t="shared" si="8"/>
        <v>-59.180250970740744</v>
      </c>
    </row>
    <row r="97" spans="1:10">
      <c r="A97" s="8">
        <v>1862</v>
      </c>
      <c r="G97" s="8">
        <v>0.14183657364656671</v>
      </c>
      <c r="H97" s="8">
        <f t="shared" si="7"/>
        <v>148.02837282904238</v>
      </c>
      <c r="I97" s="8">
        <v>87.995325285533298</v>
      </c>
      <c r="J97" s="8">
        <f t="shared" si="8"/>
        <v>-60.033047543509085</v>
      </c>
    </row>
    <row r="98" spans="1:10">
      <c r="A98" s="8">
        <v>1863</v>
      </c>
      <c r="G98" s="8">
        <v>9.757575415109479E-2</v>
      </c>
      <c r="H98" s="8">
        <f t="shared" si="7"/>
        <v>147.98411200954692</v>
      </c>
      <c r="I98" s="8">
        <v>87.142377292318585</v>
      </c>
      <c r="J98" s="8">
        <f t="shared" si="8"/>
        <v>-60.841734717228334</v>
      </c>
    </row>
    <row r="99" spans="1:10">
      <c r="A99" s="8">
        <v>1864</v>
      </c>
      <c r="G99" s="8">
        <v>6.5250678211540902E-2</v>
      </c>
      <c r="H99" s="8">
        <f t="shared" si="7"/>
        <v>147.95178693360737</v>
      </c>
      <c r="I99" s="8">
        <v>86.356109683141511</v>
      </c>
      <c r="J99" s="8">
        <f t="shared" si="8"/>
        <v>-61.595677250465855</v>
      </c>
    </row>
    <row r="100" spans="1:10">
      <c r="A100" s="8">
        <v>1865</v>
      </c>
      <c r="G100" s="8">
        <v>4.2493876174794901E-2</v>
      </c>
      <c r="H100" s="8">
        <f t="shared" si="7"/>
        <v>147.92903013157061</v>
      </c>
      <c r="I100" s="8">
        <v>85.636037875227231</v>
      </c>
      <c r="J100" s="8">
        <f t="shared" si="8"/>
        <v>-62.292992256343382</v>
      </c>
    </row>
    <row r="101" spans="1:10">
      <c r="A101" s="8">
        <v>1866</v>
      </c>
      <c r="G101" s="8">
        <v>2.6588503286158967E-2</v>
      </c>
      <c r="H101" s="8">
        <f t="shared" si="7"/>
        <v>147.91312475868199</v>
      </c>
      <c r="I101" s="8">
        <v>84.985820243017812</v>
      </c>
      <c r="J101" s="8">
        <f t="shared" si="8"/>
        <v>-62.927304515664176</v>
      </c>
    </row>
    <row r="102" spans="1:10">
      <c r="A102" s="8">
        <v>1867</v>
      </c>
      <c r="G102" s="8">
        <v>1.5733199703386071E-2</v>
      </c>
      <c r="H102" s="8">
        <f t="shared" si="7"/>
        <v>147.9022694550992</v>
      </c>
      <c r="I102" s="8">
        <v>84.405602517044315</v>
      </c>
      <c r="J102" s="8">
        <f t="shared" si="8"/>
        <v>-63.496666938054886</v>
      </c>
    </row>
    <row r="103" spans="1:10">
      <c r="A103" s="8">
        <v>1868</v>
      </c>
      <c r="G103" s="8">
        <v>7.0546092934926632E-3</v>
      </c>
      <c r="H103" s="8">
        <f t="shared" si="7"/>
        <v>147.89359086468932</v>
      </c>
      <c r="I103" s="8">
        <v>83.893067280015003</v>
      </c>
      <c r="J103" s="8">
        <f t="shared" si="8"/>
        <v>-64.000523584674312</v>
      </c>
    </row>
    <row r="104" spans="1:10">
      <c r="A104" s="8">
        <v>1869</v>
      </c>
      <c r="G104" s="8">
        <v>3.0413224539734165E-3</v>
      </c>
      <c r="H104" s="8">
        <f t="shared" si="7"/>
        <v>147.88957757784979</v>
      </c>
      <c r="I104" s="8">
        <v>83.448802387454037</v>
      </c>
      <c r="J104" s="8">
        <f t="shared" si="8"/>
        <v>-64.440775190395755</v>
      </c>
    </row>
    <row r="105" spans="1:10">
      <c r="A105" s="8">
        <v>1870</v>
      </c>
      <c r="G105" s="8">
        <v>1.5933682729615832E-3</v>
      </c>
      <c r="H105" s="8">
        <f t="shared" si="7"/>
        <v>147.88812962366879</v>
      </c>
      <c r="I105" s="8">
        <v>83.068143832621189</v>
      </c>
      <c r="J105" s="8">
        <f t="shared" si="8"/>
        <v>-64.8199857910476</v>
      </c>
    </row>
    <row r="106" spans="1:10">
      <c r="A106" s="8">
        <v>1871</v>
      </c>
      <c r="G106" s="8">
        <v>5.3263946516008201E-4</v>
      </c>
      <c r="H106" s="8">
        <f t="shared" si="7"/>
        <v>147.88706889486099</v>
      </c>
      <c r="I106" s="8">
        <v>82.747725999848186</v>
      </c>
      <c r="J106" s="8">
        <f t="shared" si="8"/>
        <v>-65.139342895012803</v>
      </c>
    </row>
    <row r="107" spans="1:10">
      <c r="A107" s="8">
        <v>1872</v>
      </c>
      <c r="G107" s="8">
        <v>1.0829737048779066E-5</v>
      </c>
      <c r="H107" s="8">
        <f t="shared" si="7"/>
        <v>147.88654708513286</v>
      </c>
      <c r="I107" s="8">
        <v>82.482738083230871</v>
      </c>
      <c r="J107" s="8">
        <f t="shared" si="8"/>
        <v>-65.40380900190199</v>
      </c>
    </row>
    <row r="108" spans="1:10">
      <c r="A108" s="8">
        <v>1873</v>
      </c>
      <c r="G108" s="8">
        <v>1.590768777959588E-6</v>
      </c>
      <c r="H108" s="8">
        <f t="shared" si="7"/>
        <v>147.8865378461646</v>
      </c>
      <c r="I108" s="8">
        <v>82.264732545306671</v>
      </c>
      <c r="J108" s="8">
        <f t="shared" si="8"/>
        <v>-65.621805300857929</v>
      </c>
    </row>
    <row r="109" spans="1:10">
      <c r="A109" s="8">
        <v>1874</v>
      </c>
      <c r="H109" s="8">
        <f t="shared" si="7"/>
        <v>147.88653625539581</v>
      </c>
      <c r="I109" s="8">
        <v>82.092635827200496</v>
      </c>
      <c r="J109" s="8">
        <f t="shared" si="8"/>
        <v>-65.793900428195315</v>
      </c>
    </row>
    <row r="110" spans="1:10">
      <c r="A110" s="8">
        <v>1875</v>
      </c>
      <c r="H110" s="8">
        <f t="shared" si="7"/>
        <v>147.88653625539581</v>
      </c>
      <c r="I110" s="8">
        <v>81.955852565549151</v>
      </c>
      <c r="J110" s="8">
        <f t="shared" si="8"/>
        <v>-65.93068368984666</v>
      </c>
    </row>
    <row r="111" spans="1:10">
      <c r="A111" s="8">
        <v>1876</v>
      </c>
      <c r="H111" s="8">
        <f t="shared" si="7"/>
        <v>147.88653625539581</v>
      </c>
      <c r="I111" s="8">
        <v>81.85470099188241</v>
      </c>
      <c r="J111" s="8">
        <f t="shared" si="8"/>
        <v>-66.0318352635134</v>
      </c>
    </row>
    <row r="112" spans="1:10">
      <c r="A112" s="8">
        <v>1877</v>
      </c>
      <c r="H112" s="8">
        <f t="shared" si="7"/>
        <v>147.88653625539581</v>
      </c>
      <c r="I112" s="8">
        <v>81.780826799369621</v>
      </c>
      <c r="J112" s="8">
        <f t="shared" si="8"/>
        <v>-66.10570945602619</v>
      </c>
    </row>
    <row r="113" spans="1:10">
      <c r="A113" s="8">
        <v>1878</v>
      </c>
      <c r="H113" s="8">
        <f t="shared" si="7"/>
        <v>147.88653625539581</v>
      </c>
      <c r="I113" s="8">
        <v>81.728819485364184</v>
      </c>
      <c r="J113" s="8">
        <f t="shared" si="8"/>
        <v>-66.157716770031627</v>
      </c>
    </row>
    <row r="114" spans="1:10">
      <c r="A114" s="8">
        <v>1879</v>
      </c>
      <c r="H114" s="8">
        <f t="shared" si="7"/>
        <v>147.88653625539581</v>
      </c>
      <c r="I114" s="8">
        <v>81.692470101964119</v>
      </c>
      <c r="J114" s="8">
        <f t="shared" si="8"/>
        <v>-66.194066153431692</v>
      </c>
    </row>
    <row r="115" spans="1:10">
      <c r="A115" s="8">
        <v>1880</v>
      </c>
      <c r="H115" s="8">
        <f t="shared" si="7"/>
        <v>147.88653625539581</v>
      </c>
      <c r="I115" s="8">
        <v>81.667661906983909</v>
      </c>
      <c r="J115" s="8">
        <f t="shared" si="8"/>
        <v>-66.218874348411902</v>
      </c>
    </row>
    <row r="116" spans="1:10">
      <c r="A116" s="8">
        <v>1881</v>
      </c>
      <c r="H116" s="8">
        <f t="shared" si="7"/>
        <v>147.88653625539581</v>
      </c>
      <c r="I116" s="8">
        <v>81.647828268854823</v>
      </c>
      <c r="J116" s="8">
        <f t="shared" si="8"/>
        <v>-66.238707986540987</v>
      </c>
    </row>
    <row r="117" spans="1:10">
      <c r="A117" s="8">
        <v>1882</v>
      </c>
      <c r="H117" s="8">
        <f t="shared" si="7"/>
        <v>147.88653625539581</v>
      </c>
      <c r="I117" s="8">
        <v>81.638656493817209</v>
      </c>
      <c r="J117" s="8">
        <f t="shared" si="8"/>
        <v>-66.247879761578602</v>
      </c>
    </row>
    <row r="118" spans="1:10">
      <c r="A118" s="8">
        <v>1883</v>
      </c>
      <c r="H118" s="8">
        <f t="shared" si="7"/>
        <v>147.88653625539581</v>
      </c>
      <c r="I118" s="8">
        <v>81.635347408136553</v>
      </c>
      <c r="J118" s="8">
        <f t="shared" si="8"/>
        <v>-66.251188847259257</v>
      </c>
    </row>
    <row r="119" spans="1:10">
      <c r="A119" s="8">
        <v>1884</v>
      </c>
      <c r="H119" s="8">
        <f t="shared" si="7"/>
        <v>147.88653625539581</v>
      </c>
      <c r="I119" s="8">
        <v>81.632923268923449</v>
      </c>
      <c r="J119" s="8">
        <f t="shared" si="8"/>
        <v>-66.253612986472362</v>
      </c>
    </row>
    <row r="120" spans="1:10">
      <c r="A120" s="8">
        <v>1885</v>
      </c>
      <c r="H120" s="8">
        <f t="shared" ref="H120:H121" si="9">120-46+G120+F$24</f>
        <v>147.88653625539581</v>
      </c>
      <c r="I120" s="8">
        <v>81.631730749766447</v>
      </c>
      <c r="J120" s="8">
        <f t="shared" ref="J120:J121" si="10">I120-H120</f>
        <v>-66.254805505629363</v>
      </c>
    </row>
    <row r="121" spans="1:10">
      <c r="A121" s="8">
        <v>1886</v>
      </c>
      <c r="H121" s="8">
        <f t="shared" si="9"/>
        <v>147.88653625539581</v>
      </c>
      <c r="I121" s="8">
        <v>81.631709635467388</v>
      </c>
      <c r="J121" s="8">
        <f t="shared" si="10"/>
        <v>-66.254826619928423</v>
      </c>
    </row>
    <row r="122" spans="1:10">
      <c r="A122" s="8">
        <v>1887</v>
      </c>
    </row>
    <row r="123" spans="1:10">
      <c r="A123" s="8">
        <v>1888</v>
      </c>
    </row>
    <row r="124" spans="1:10">
      <c r="A124" s="8">
        <v>1889</v>
      </c>
    </row>
    <row r="125" spans="1:10">
      <c r="A125" s="8">
        <v>1890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9"/>
  <sheetViews>
    <sheetView workbookViewId="0"/>
  </sheetViews>
  <sheetFormatPr defaultRowHeight="12.75"/>
  <cols>
    <col min="1" max="10" width="9.140625" style="8"/>
    <col min="11" max="16384" width="9.140625" style="7"/>
  </cols>
  <sheetData>
    <row r="1" spans="1:10">
      <c r="B1" s="8" t="s">
        <v>199</v>
      </c>
      <c r="C1" s="8" t="s">
        <v>17</v>
      </c>
      <c r="D1" s="8" t="s">
        <v>198</v>
      </c>
      <c r="E1" s="8" t="s">
        <v>197</v>
      </c>
      <c r="F1" s="8" t="s">
        <v>196</v>
      </c>
      <c r="G1" s="8" t="s">
        <v>195</v>
      </c>
      <c r="H1" s="8" t="s">
        <v>194</v>
      </c>
      <c r="I1" s="8" t="s">
        <v>193</v>
      </c>
      <c r="J1" s="8" t="s">
        <v>192</v>
      </c>
    </row>
    <row r="2" spans="1:10">
      <c r="F2" s="8" t="s">
        <v>191</v>
      </c>
    </row>
    <row r="3" spans="1:10">
      <c r="F3" s="8" t="s">
        <v>190</v>
      </c>
    </row>
    <row r="4" spans="1:10">
      <c r="A4" s="8">
        <v>1790</v>
      </c>
      <c r="B4" s="8">
        <f>SUM(C4:J4)</f>
        <v>28.013999999999999</v>
      </c>
      <c r="C4" s="8">
        <v>28.013999999999999</v>
      </c>
    </row>
    <row r="5" spans="1:10">
      <c r="A5" s="8">
        <v>1791</v>
      </c>
      <c r="B5" s="8">
        <v>28.013999999999999</v>
      </c>
      <c r="C5" s="8">
        <f>C4</f>
        <v>28.013999999999999</v>
      </c>
    </row>
    <row r="6" spans="1:10">
      <c r="A6" s="8">
        <v>1792</v>
      </c>
      <c r="B6" s="8">
        <v>28.192999999999998</v>
      </c>
      <c r="C6" s="8">
        <f>C5+0.179</f>
        <v>28.192999999999998</v>
      </c>
    </row>
    <row r="7" spans="1:10">
      <c r="A7" s="8">
        <v>1793</v>
      </c>
      <c r="B7" s="8">
        <v>28.575999999999997</v>
      </c>
      <c r="C7" s="8">
        <f>C6+0.26+0.123</f>
        <v>28.576000000000001</v>
      </c>
    </row>
    <row r="8" spans="1:10">
      <c r="A8" s="8">
        <v>1794</v>
      </c>
      <c r="B8" s="8">
        <v>31.604390466224899</v>
      </c>
      <c r="C8" s="8">
        <f>C7</f>
        <v>28.576000000000001</v>
      </c>
      <c r="D8" s="8">
        <v>3.0283904662249026</v>
      </c>
    </row>
    <row r="9" spans="1:10">
      <c r="A9" s="8">
        <v>1795</v>
      </c>
      <c r="B9" s="8">
        <v>31.629763988126488</v>
      </c>
      <c r="C9" s="8">
        <f>C8</f>
        <v>28.576000000000001</v>
      </c>
      <c r="D9" s="8">
        <v>3.0537639881264913</v>
      </c>
    </row>
    <row r="10" spans="1:10">
      <c r="A10" s="8">
        <v>1796</v>
      </c>
      <c r="B10" s="8">
        <v>31.855401441629326</v>
      </c>
      <c r="C10" s="8">
        <f>C9*1.007</f>
        <v>28.776031999999997</v>
      </c>
      <c r="D10" s="8">
        <v>3.0793694416293311</v>
      </c>
    </row>
    <row r="11" spans="1:10">
      <c r="A11" s="8">
        <v>1797</v>
      </c>
      <c r="B11" s="8">
        <v>32.08267335664619</v>
      </c>
      <c r="C11" s="8">
        <f>C10*1.007</f>
        <v>28.977464223999995</v>
      </c>
      <c r="D11" s="8">
        <v>3.1052091326461966</v>
      </c>
    </row>
    <row r="12" spans="1:10">
      <c r="A12" s="8">
        <v>1798</v>
      </c>
      <c r="B12" s="8">
        <v>32.514591865417664</v>
      </c>
      <c r="C12" s="8">
        <f>C11*1.007+0.203</f>
        <v>29.383306473567991</v>
      </c>
      <c r="D12" s="8">
        <v>3.1312853918496755</v>
      </c>
    </row>
    <row r="13" spans="1:10">
      <c r="A13" s="8">
        <v>1799</v>
      </c>
      <c r="B13" s="8">
        <v>32.746590193839381</v>
      </c>
      <c r="C13" s="8">
        <f>C12*1.007</f>
        <v>29.588989618882962</v>
      </c>
      <c r="D13" s="8">
        <v>3.1576005749564251</v>
      </c>
    </row>
    <row r="14" spans="1:10">
      <c r="A14" s="8">
        <v>1800</v>
      </c>
      <c r="B14" s="8">
        <v>32.980269609230021</v>
      </c>
      <c r="C14" s="8">
        <f>C13*1.007</f>
        <v>29.796112546215141</v>
      </c>
      <c r="D14" s="8">
        <v>3.1841570630148843</v>
      </c>
    </row>
    <row r="15" spans="1:10">
      <c r="A15" s="8">
        <v>1801</v>
      </c>
      <c r="B15" s="8">
        <v>34.612441178957617</v>
      </c>
      <c r="C15" s="8">
        <f>C14/(29.1/29.5)^0.2</f>
        <v>29.877579552155563</v>
      </c>
      <c r="D15" s="8">
        <v>3.210957262696474</v>
      </c>
      <c r="E15" s="8">
        <f>E16/(29.5/29.1)^0.2</f>
        <v>1.5239043641055836</v>
      </c>
    </row>
    <row r="16" spans="1:10">
      <c r="A16" s="8">
        <v>1802</v>
      </c>
      <c r="B16" s="8">
        <v>34.725343853027987</v>
      </c>
      <c r="C16" s="8">
        <f>C15/(29.1/29.5)^0.2</f>
        <v>29.959269301014096</v>
      </c>
      <c r="D16" s="8">
        <v>3.238003606590341</v>
      </c>
      <c r="E16" s="8">
        <f>E17/(29.5/29.1)^0.2</f>
        <v>1.5280709454235548</v>
      </c>
    </row>
    <row r="17" spans="1:10">
      <c r="A17" s="8">
        <v>1803</v>
      </c>
      <c r="B17" s="8">
        <v>37.316714415528175</v>
      </c>
      <c r="C17" s="8">
        <f>C16/(29.1/29.5)^0.2</f>
        <v>30.041182401803027</v>
      </c>
      <c r="D17" s="8">
        <v>3.2652985535016805</v>
      </c>
      <c r="E17" s="8">
        <f>E18/(29.5/29.1)^0.2</f>
        <v>1.5322489187949175</v>
      </c>
      <c r="F17" s="8">
        <v>1.58</v>
      </c>
      <c r="G17" s="8">
        <f t="shared" ref="G17:G25" si="0">G18/1.0039</f>
        <v>0.89798454142854944</v>
      </c>
    </row>
    <row r="18" spans="1:10">
      <c r="A18" s="8">
        <v>1804</v>
      </c>
      <c r="B18" s="8">
        <v>37.43408905046082</v>
      </c>
      <c r="C18" s="8">
        <f>C17/(29.1/29.5)^0.2</f>
        <v>30.123319465199771</v>
      </c>
      <c r="D18" s="8">
        <v>3.2928445887536903</v>
      </c>
      <c r="E18" s="8">
        <f>E19/(29.5/29.1)^0.2</f>
        <v>1.536438315367241</v>
      </c>
      <c r="F18" s="8">
        <v>1.58</v>
      </c>
      <c r="G18" s="8">
        <f t="shared" si="0"/>
        <v>0.90148668114012076</v>
      </c>
    </row>
    <row r="19" spans="1:10">
      <c r="A19" s="8">
        <v>1805</v>
      </c>
      <c r="B19" s="8">
        <v>37.551966973614441</v>
      </c>
      <c r="C19" s="8">
        <f>C18/(29.1/29.5)^0.2</f>
        <v>30.205681103551427</v>
      </c>
      <c r="D19" s="8">
        <v>3.3206442244931957</v>
      </c>
      <c r="E19" s="8">
        <f>E20/(30/29.5)^0.2</f>
        <v>1.5406391663732566</v>
      </c>
      <c r="F19" s="8">
        <v>1.58</v>
      </c>
      <c r="G19" s="8">
        <f t="shared" si="0"/>
        <v>0.90500247919656729</v>
      </c>
    </row>
    <row r="20" spans="1:10">
      <c r="A20" s="8">
        <v>1806</v>
      </c>
      <c r="B20" s="8">
        <v>37.690444645617063</v>
      </c>
      <c r="C20" s="8">
        <f>C19/(29.5/30)^0.2</f>
        <v>30.307386035695991</v>
      </c>
      <c r="D20" s="8">
        <v>3.3487</v>
      </c>
      <c r="E20" s="8">
        <f>E21/(30/29.5)^0.2</f>
        <v>1.5458266210556415</v>
      </c>
      <c r="F20" s="8">
        <v>1.58</v>
      </c>
      <c r="G20" s="8">
        <f t="shared" si="0"/>
        <v>0.90853198886543396</v>
      </c>
    </row>
    <row r="21" spans="1:10">
      <c r="A21" s="8">
        <v>1807</v>
      </c>
      <c r="B21" s="8">
        <v>37.820222899730922</v>
      </c>
      <c r="C21" s="8">
        <f>C20/(29.5/30)^0.2</f>
        <v>30.409433416441104</v>
      </c>
      <c r="D21" s="8">
        <v>3.3676826773570414</v>
      </c>
      <c r="E21" s="8">
        <f>E22/(30/29.5)^0.2</f>
        <v>1.551031542310777</v>
      </c>
      <c r="F21" s="8">
        <v>1.58</v>
      </c>
      <c r="G21" s="8">
        <f t="shared" si="0"/>
        <v>0.91207526362200919</v>
      </c>
    </row>
    <row r="22" spans="1:10">
      <c r="A22" s="8">
        <v>1808</v>
      </c>
      <c r="B22" s="8">
        <v>39.420483706198382</v>
      </c>
      <c r="C22" s="8">
        <f>C21/(29.5/30)^0.2</f>
        <v>30.511824398838456</v>
      </c>
      <c r="D22" s="8">
        <v>3.3867729612597994</v>
      </c>
      <c r="E22" s="8">
        <f>E23/(30/29.5)^0.2</f>
        <v>1.5562539889500036</v>
      </c>
      <c r="F22" s="8">
        <f>1.58+0.38</f>
        <v>1.96</v>
      </c>
      <c r="G22" s="8">
        <f t="shared" si="0"/>
        <v>0.91563235715013502</v>
      </c>
      <c r="H22" s="8">
        <v>1.0900000000000001</v>
      </c>
    </row>
    <row r="23" spans="1:10">
      <c r="A23" s="8">
        <v>1809</v>
      </c>
      <c r="B23" s="8">
        <v>39.554498944842187</v>
      </c>
      <c r="C23" s="8">
        <f>C22/(29.5/30)^0.2</f>
        <v>30.614560139822157</v>
      </c>
      <c r="D23" s="8">
        <v>3.4059714616943402</v>
      </c>
      <c r="E23" s="8">
        <f>E24/(30/29.5)^0.2</f>
        <v>1.5614940199826841</v>
      </c>
      <c r="F23" s="8">
        <f>1.58+0.38</f>
        <v>1.96</v>
      </c>
      <c r="G23" s="8">
        <f t="shared" si="0"/>
        <v>0.91920332334302057</v>
      </c>
      <c r="H23" s="8">
        <f t="shared" ref="H23:H29" si="1">H22*1.003</f>
        <v>1.09327</v>
      </c>
    </row>
    <row r="24" spans="1:10">
      <c r="A24" s="8">
        <v>1810</v>
      </c>
      <c r="B24" s="8">
        <v>43.962010313247248</v>
      </c>
      <c r="C24" s="8">
        <f>C23/(29.5/30)^0.2</f>
        <v>30.717641800221802</v>
      </c>
      <c r="D24" s="8">
        <v>3.4252787921045398</v>
      </c>
      <c r="E24" s="8">
        <f>E25/(30.3/30)^0.2</f>
        <v>1.5667516946168709</v>
      </c>
      <c r="F24" s="8">
        <f t="shared" ref="F24:F29" si="2">1.58+0.38+0.88</f>
        <v>2.84</v>
      </c>
      <c r="G24" s="8">
        <f t="shared" si="0"/>
        <v>0.92278821630405838</v>
      </c>
      <c r="H24" s="8">
        <f t="shared" si="1"/>
        <v>1.0965498099999997</v>
      </c>
      <c r="I24" s="8">
        <v>2.202</v>
      </c>
      <c r="J24" s="8">
        <v>1.1910000000000001</v>
      </c>
    </row>
    <row r="25" spans="1:10">
      <c r="A25" s="8">
        <v>1811</v>
      </c>
      <c r="B25" s="8">
        <v>44.063367793525657</v>
      </c>
      <c r="C25" s="8">
        <f>C24/(30/30.3)^0.2</f>
        <v>30.778832806891341</v>
      </c>
      <c r="D25" s="8">
        <v>3.4446955694116852</v>
      </c>
      <c r="E25" s="8">
        <f>E26/(30.3/30)^0.2</f>
        <v>1.5698727386741698</v>
      </c>
      <c r="F25" s="8">
        <f t="shared" si="2"/>
        <v>2.84</v>
      </c>
      <c r="G25" s="8">
        <f t="shared" si="0"/>
        <v>0.92638709034764422</v>
      </c>
      <c r="H25" s="8">
        <f t="shared" si="1"/>
        <v>1.0998394594299996</v>
      </c>
      <c r="I25" s="8">
        <f>I24*1.0038</f>
        <v>2.2103676000000001</v>
      </c>
      <c r="J25" s="8">
        <f>J24*(30.3/30)^0.2</f>
        <v>1.1933725287708412</v>
      </c>
    </row>
    <row r="26" spans="1:10">
      <c r="A26" s="8">
        <v>1812</v>
      </c>
      <c r="B26" s="8">
        <v>44.165023881417468</v>
      </c>
      <c r="C26" s="8">
        <f>C25/(30/30.3)^0.2</f>
        <v>30.840145708962929</v>
      </c>
      <c r="D26" s="8">
        <v>3.4642224140341868</v>
      </c>
      <c r="E26" s="8">
        <v>1.573</v>
      </c>
      <c r="F26" s="8">
        <f t="shared" si="2"/>
        <v>2.84</v>
      </c>
      <c r="G26" s="8">
        <v>0.93</v>
      </c>
      <c r="H26" s="8">
        <f t="shared" si="1"/>
        <v>1.1031389778082894</v>
      </c>
      <c r="I26" s="8">
        <f>I25*1.0038</f>
        <v>2.2187669968800003</v>
      </c>
      <c r="J26" s="8">
        <f>J25*(30.3/30)^0.2</f>
        <v>1.1957497837320843</v>
      </c>
    </row>
    <row r="27" spans="1:10">
      <c r="A27" s="8">
        <v>1813</v>
      </c>
      <c r="B27" s="8">
        <v>44.266979670653242</v>
      </c>
      <c r="C27" s="8">
        <f>C26/(30/30.3)^0.2</f>
        <v>30.901580749258017</v>
      </c>
      <c r="D27" s="8">
        <v>3.4838599499074041</v>
      </c>
      <c r="E27" s="8">
        <f>E26/(30/30.3)^0.2</f>
        <v>1.5761334909794569</v>
      </c>
      <c r="F27" s="8">
        <f t="shared" si="2"/>
        <v>2.84</v>
      </c>
      <c r="G27" s="8">
        <f>G26*1.0039</f>
        <v>0.9336270000000001</v>
      </c>
      <c r="H27" s="8">
        <f t="shared" si="1"/>
        <v>1.1064483947417141</v>
      </c>
      <c r="I27" s="8">
        <f>I26*1.0038</f>
        <v>2.2271983114681446</v>
      </c>
      <c r="J27" s="8">
        <f>J26*(30.3/30)^0.2</f>
        <v>1.1981317742985256</v>
      </c>
    </row>
    <row r="28" spans="1:10">
      <c r="A28" s="8">
        <v>1814</v>
      </c>
      <c r="B28" s="8">
        <v>42.13357459473729</v>
      </c>
      <c r="C28" s="8">
        <f>C27/(30/30.3)^0.2</f>
        <v>30.96313817108177</v>
      </c>
      <c r="D28" s="8">
        <v>3.5036088045035791</v>
      </c>
      <c r="E28" s="8">
        <f>E27/(30/30.3)^0.2</f>
        <v>1.5792732240223075</v>
      </c>
      <c r="F28" s="8">
        <f t="shared" si="2"/>
        <v>2.84</v>
      </c>
      <c r="G28" s="8">
        <f>G27*1.0039</f>
        <v>0.93726814530000013</v>
      </c>
      <c r="H28" s="8">
        <f t="shared" si="1"/>
        <v>1.1097677399259391</v>
      </c>
      <c r="J28" s="8">
        <f>J27*(30.3/30)^0.2</f>
        <v>1.2005185099037166</v>
      </c>
    </row>
    <row r="29" spans="1:10">
      <c r="A29" s="8">
        <v>1815</v>
      </c>
      <c r="B29" s="8">
        <v>42.227637572851314</v>
      </c>
      <c r="C29" s="8">
        <f>C28/(30/30.3)^0.2</f>
        <v>31.024818218224024</v>
      </c>
      <c r="D29" s="8">
        <v>3.5234696088518875</v>
      </c>
      <c r="E29" s="8">
        <f>E28/(30/30.3)^0.2</f>
        <v>1.5824192115630398</v>
      </c>
      <c r="F29" s="8">
        <f t="shared" si="2"/>
        <v>2.84</v>
      </c>
      <c r="G29" s="8">
        <f>G28*1.0039</f>
        <v>0.94092349106667017</v>
      </c>
      <c r="H29" s="8">
        <f t="shared" si="1"/>
        <v>1.1130970431457168</v>
      </c>
      <c r="J29" s="8">
        <f>J28*(30.3/30)^0.2</f>
        <v>1.2029100000000004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24"/>
  <sheetViews>
    <sheetView workbookViewId="0"/>
  </sheetViews>
  <sheetFormatPr defaultRowHeight="12.75"/>
  <cols>
    <col min="1" max="4" width="9.140625" style="8"/>
    <col min="5" max="16384" width="9.140625" style="7"/>
  </cols>
  <sheetData>
    <row r="1" spans="1:2">
      <c r="B1" s="8" t="s">
        <v>204</v>
      </c>
    </row>
    <row r="2" spans="1:2">
      <c r="B2" s="8" t="s">
        <v>203</v>
      </c>
    </row>
    <row r="3" spans="1:2">
      <c r="A3" s="8" t="s">
        <v>136</v>
      </c>
    </row>
    <row r="4" spans="1:2">
      <c r="A4" s="8">
        <v>1752</v>
      </c>
    </row>
    <row r="5" spans="1:2">
      <c r="A5" s="8">
        <v>2</v>
      </c>
    </row>
    <row r="6" spans="1:2">
      <c r="A6" s="8">
        <v>3</v>
      </c>
    </row>
    <row r="7" spans="1:2">
      <c r="A7" s="8">
        <v>4</v>
      </c>
    </row>
    <row r="8" spans="1:2">
      <c r="A8" s="8">
        <v>5</v>
      </c>
      <c r="B8" s="9">
        <v>5.0554389546646435E-2</v>
      </c>
    </row>
    <row r="9" spans="1:2">
      <c r="A9" s="8">
        <v>6</v>
      </c>
      <c r="B9" s="9">
        <v>5.037881848773669E-2</v>
      </c>
    </row>
    <row r="10" spans="1:2">
      <c r="A10" s="8">
        <v>7</v>
      </c>
      <c r="B10" s="9">
        <v>5.0324461935885426E-2</v>
      </c>
    </row>
    <row r="11" spans="1:2">
      <c r="A11" s="8">
        <v>8</v>
      </c>
      <c r="B11" s="9">
        <v>5.0138482488633604E-2</v>
      </c>
    </row>
    <row r="12" spans="1:2">
      <c r="A12" s="8">
        <v>9</v>
      </c>
      <c r="B12" s="9">
        <v>4.9990041983636858E-2</v>
      </c>
    </row>
    <row r="13" spans="1:2">
      <c r="A13" s="8">
        <v>10</v>
      </c>
      <c r="B13" s="9">
        <v>5.0264976851972863E-2</v>
      </c>
    </row>
    <row r="14" spans="1:2">
      <c r="A14" s="8">
        <v>11</v>
      </c>
      <c r="B14" s="9">
        <v>5.0154817891868625E-2</v>
      </c>
    </row>
    <row r="15" spans="1:2">
      <c r="A15" s="8">
        <v>12</v>
      </c>
      <c r="B15" s="9">
        <v>4.9834807579834363E-2</v>
      </c>
    </row>
    <row r="16" spans="1:2">
      <c r="A16" s="8">
        <v>1753</v>
      </c>
      <c r="B16" s="9">
        <v>4.9620187238799331E-2</v>
      </c>
    </row>
    <row r="17" spans="1:2">
      <c r="A17" s="8">
        <v>2</v>
      </c>
      <c r="B17" s="9">
        <v>4.9648360521768527E-2</v>
      </c>
    </row>
    <row r="18" spans="1:2">
      <c r="A18" s="8">
        <v>3</v>
      </c>
      <c r="B18" s="9">
        <v>4.9325970478603973E-2</v>
      </c>
    </row>
    <row r="19" spans="1:2">
      <c r="A19" s="8">
        <v>4</v>
      </c>
      <c r="B19" s="9">
        <v>4.9932670786711202E-2</v>
      </c>
    </row>
    <row r="20" spans="1:2">
      <c r="A20" s="8">
        <v>5</v>
      </c>
      <c r="B20" s="9">
        <v>5.0208515966810162E-2</v>
      </c>
    </row>
    <row r="21" spans="1:2">
      <c r="A21" s="8">
        <v>6</v>
      </c>
      <c r="B21" s="9">
        <v>5.0146025225456532E-2</v>
      </c>
    </row>
    <row r="22" spans="1:2">
      <c r="A22" s="8">
        <v>7</v>
      </c>
      <c r="B22" s="9">
        <v>5.0533144891867152E-2</v>
      </c>
    </row>
    <row r="23" spans="1:2">
      <c r="A23" s="8">
        <v>8</v>
      </c>
      <c r="B23" s="9">
        <v>5.0468213806770933E-2</v>
      </c>
    </row>
    <row r="24" spans="1:2">
      <c r="A24" s="8">
        <v>9</v>
      </c>
      <c r="B24" s="9">
        <v>5.0631465511567164E-2</v>
      </c>
    </row>
    <row r="25" spans="1:2">
      <c r="A25" s="8">
        <v>10</v>
      </c>
      <c r="B25" s="9">
        <v>5.0580144137225141E-2</v>
      </c>
    </row>
    <row r="26" spans="1:2">
      <c r="A26" s="8">
        <v>11</v>
      </c>
      <c r="B26" s="9">
        <v>5.0299392041308275E-2</v>
      </c>
    </row>
    <row r="27" spans="1:2">
      <c r="A27" s="8">
        <v>12</v>
      </c>
      <c r="B27" s="9">
        <v>4.9878734819905846E-2</v>
      </c>
    </row>
    <row r="28" spans="1:2">
      <c r="A28" s="8">
        <v>1754</v>
      </c>
      <c r="B28" s="9">
        <v>4.9362269100581939E-2</v>
      </c>
    </row>
    <row r="29" spans="1:2">
      <c r="A29" s="8">
        <v>2</v>
      </c>
      <c r="B29" s="9">
        <v>4.9461737586884491E-2</v>
      </c>
    </row>
    <row r="30" spans="1:2">
      <c r="A30" s="8">
        <v>3</v>
      </c>
      <c r="B30" s="9">
        <v>4.9107973308048621E-2</v>
      </c>
    </row>
    <row r="31" spans="1:2">
      <c r="A31" s="8">
        <v>4</v>
      </c>
      <c r="B31" s="9">
        <v>4.9518060524142725E-2</v>
      </c>
    </row>
    <row r="32" spans="1:2">
      <c r="A32" s="8">
        <v>5</v>
      </c>
      <c r="B32" s="9">
        <v>4.9770726172812328E-2</v>
      </c>
    </row>
    <row r="33" spans="1:2">
      <c r="A33" s="8">
        <v>6</v>
      </c>
      <c r="B33" s="9">
        <v>4.9794815483319432E-2</v>
      </c>
    </row>
    <row r="34" spans="1:2">
      <c r="A34" s="8">
        <v>7</v>
      </c>
      <c r="B34" s="9">
        <v>5.0008611482897355E-2</v>
      </c>
    </row>
    <row r="35" spans="1:2">
      <c r="A35" s="8">
        <v>8</v>
      </c>
      <c r="B35" s="9">
        <v>4.9849007356716504E-2</v>
      </c>
    </row>
    <row r="36" spans="1:2">
      <c r="A36" s="8">
        <v>9</v>
      </c>
      <c r="B36" s="9">
        <v>4.9978089605516939E-2</v>
      </c>
    </row>
    <row r="37" spans="1:2">
      <c r="A37" s="8">
        <v>10</v>
      </c>
      <c r="B37" s="9">
        <v>4.9882437072307981E-2</v>
      </c>
    </row>
    <row r="38" spans="1:2">
      <c r="A38" s="8">
        <v>11</v>
      </c>
      <c r="B38" s="9">
        <v>5.0082826979258296E-2</v>
      </c>
    </row>
    <row r="39" spans="1:2">
      <c r="A39" s="8">
        <v>12</v>
      </c>
      <c r="B39" s="9">
        <v>4.9561165615176976E-2</v>
      </c>
    </row>
    <row r="40" spans="1:2">
      <c r="A40" s="8">
        <v>1755</v>
      </c>
      <c r="B40" s="9">
        <v>4.9176384084082959E-2</v>
      </c>
    </row>
    <row r="41" spans="1:2">
      <c r="A41" s="8">
        <v>2</v>
      </c>
      <c r="B41" s="9">
        <v>4.9519904525624076E-2</v>
      </c>
    </row>
    <row r="42" spans="1:2">
      <c r="A42" s="8">
        <v>3</v>
      </c>
      <c r="B42" s="9">
        <v>4.9253096492923414E-2</v>
      </c>
    </row>
    <row r="43" spans="1:2">
      <c r="A43" s="8">
        <v>4</v>
      </c>
      <c r="B43" s="9">
        <v>4.9785543791563462E-2</v>
      </c>
    </row>
    <row r="44" spans="1:2">
      <c r="A44" s="8">
        <v>5</v>
      </c>
      <c r="B44" s="9">
        <v>5.0208515966810162E-2</v>
      </c>
    </row>
    <row r="45" spans="1:2">
      <c r="A45" s="8">
        <v>6</v>
      </c>
      <c r="B45" s="9">
        <v>5.0085104609752892E-2</v>
      </c>
    </row>
    <row r="46" spans="1:2">
      <c r="A46" s="8">
        <v>7</v>
      </c>
      <c r="B46" s="9">
        <v>5.0162003205552655E-2</v>
      </c>
    </row>
    <row r="47" spans="1:2">
      <c r="A47" s="8">
        <v>8</v>
      </c>
      <c r="B47" s="9">
        <v>5.0653275291433625E-2</v>
      </c>
    </row>
    <row r="48" spans="1:2">
      <c r="A48" s="8">
        <v>9</v>
      </c>
      <c r="B48" s="9">
        <v>5.140299329910579E-2</v>
      </c>
    </row>
    <row r="49" spans="1:2">
      <c r="A49" s="8">
        <v>10</v>
      </c>
      <c r="B49" s="9">
        <v>5.154981423508942E-2</v>
      </c>
    </row>
    <row r="50" spans="1:2">
      <c r="A50" s="8">
        <v>11</v>
      </c>
      <c r="B50" s="9">
        <v>5.1550175641758449E-2</v>
      </c>
    </row>
    <row r="51" spans="1:2">
      <c r="A51" s="8">
        <v>12</v>
      </c>
      <c r="B51" s="9">
        <v>5.0563101030941179E-2</v>
      </c>
    </row>
    <row r="52" spans="1:2">
      <c r="A52" s="8">
        <v>1756</v>
      </c>
      <c r="B52" s="9">
        <v>5.0386037666183228E-2</v>
      </c>
    </row>
    <row r="53" spans="1:2">
      <c r="A53" s="8">
        <v>2</v>
      </c>
      <c r="B53" s="9">
        <v>5.0493758264565883E-2</v>
      </c>
    </row>
    <row r="54" spans="1:2">
      <c r="A54" s="8">
        <v>3</v>
      </c>
      <c r="B54" s="9">
        <v>4.9991761357728245E-2</v>
      </c>
    </row>
    <row r="55" spans="1:2">
      <c r="A55" s="8">
        <v>4</v>
      </c>
      <c r="B55" s="9">
        <v>5.0262753570565491E-2</v>
      </c>
    </row>
    <row r="56" spans="1:2">
      <c r="A56" s="8">
        <v>5</v>
      </c>
      <c r="B56" s="9">
        <v>5.0716595058215554E-2</v>
      </c>
    </row>
    <row r="57" spans="1:2">
      <c r="A57" s="8">
        <v>6</v>
      </c>
      <c r="B57" s="9">
        <v>5.0638654713243428E-2</v>
      </c>
    </row>
    <row r="58" spans="1:2">
      <c r="A58" s="8">
        <v>7</v>
      </c>
      <c r="B58" s="9">
        <v>5.0324461935885426E-2</v>
      </c>
    </row>
    <row r="59" spans="1:2">
      <c r="A59" s="8">
        <v>8</v>
      </c>
      <c r="B59" s="9">
        <v>5.0595560340771215E-2</v>
      </c>
    </row>
    <row r="60" spans="1:2">
      <c r="A60" s="8">
        <v>9</v>
      </c>
      <c r="B60" s="9">
        <v>5.1126553147994802E-2</v>
      </c>
    </row>
    <row r="61" spans="1:2">
      <c r="A61" s="8">
        <v>10</v>
      </c>
      <c r="B61" s="9">
        <v>5.1023115512251672E-2</v>
      </c>
    </row>
    <row r="62" spans="1:2">
      <c r="A62" s="8">
        <v>11</v>
      </c>
      <c r="B62" s="9">
        <v>5.0861450560432148E-2</v>
      </c>
    </row>
    <row r="63" spans="1:2">
      <c r="A63" s="8">
        <v>12</v>
      </c>
      <c r="B63" s="9">
        <v>5.0379031682768478E-2</v>
      </c>
    </row>
    <row r="64" spans="1:2">
      <c r="A64" s="8">
        <v>1757</v>
      </c>
      <c r="B64" s="9">
        <v>5.0180297810031443E-2</v>
      </c>
    </row>
    <row r="65" spans="1:2">
      <c r="A65" s="8">
        <v>2</v>
      </c>
      <c r="B65" s="9">
        <v>5.0264724196453045E-2</v>
      </c>
    </row>
    <row r="66" spans="1:2">
      <c r="A66" s="8">
        <v>3</v>
      </c>
      <c r="B66" s="9">
        <v>5.0058488337773856E-2</v>
      </c>
    </row>
    <row r="67" spans="1:2">
      <c r="A67" s="8">
        <v>4</v>
      </c>
      <c r="B67" s="9">
        <v>5.107304466848487E-2</v>
      </c>
    </row>
    <row r="68" spans="1:2">
      <c r="A68" s="8">
        <v>5</v>
      </c>
      <c r="B68" s="9">
        <v>5.1440265711606113E-2</v>
      </c>
    </row>
    <row r="69" spans="1:2">
      <c r="A69" s="8">
        <v>6</v>
      </c>
      <c r="B69" s="9">
        <v>5.1588928685734899E-2</v>
      </c>
    </row>
    <row r="70" spans="1:2">
      <c r="A70" s="8">
        <v>7</v>
      </c>
      <c r="B70" s="9">
        <v>5.2572078422400248E-2</v>
      </c>
    </row>
    <row r="71" spans="1:2">
      <c r="A71" s="8">
        <v>8</v>
      </c>
      <c r="B71" s="9">
        <v>5.1741055471999503E-2</v>
      </c>
    </row>
    <row r="72" spans="1:2">
      <c r="A72" s="8">
        <v>9</v>
      </c>
      <c r="B72" s="9">
        <v>5.2120371372239731E-2</v>
      </c>
    </row>
    <row r="73" spans="1:2">
      <c r="A73" s="8">
        <v>10</v>
      </c>
      <c r="B73" s="9">
        <v>5.2048731770191939E-2</v>
      </c>
    </row>
    <row r="74" spans="1:2">
      <c r="A74" s="8">
        <v>11</v>
      </c>
      <c r="B74" s="9">
        <v>5.198534096561315E-2</v>
      </c>
    </row>
    <row r="75" spans="1:2">
      <c r="A75" s="8">
        <v>12</v>
      </c>
      <c r="B75" s="9">
        <v>5.2361317385611991E-2</v>
      </c>
    </row>
    <row r="76" spans="1:2">
      <c r="A76" s="8">
        <v>1758</v>
      </c>
      <c r="B76" s="9">
        <v>5.1402517695316716E-2</v>
      </c>
    </row>
    <row r="77" spans="1:2">
      <c r="A77" s="8">
        <v>2</v>
      </c>
      <c r="B77" s="9">
        <v>5.1531888447890438E-2</v>
      </c>
    </row>
    <row r="78" spans="1:2">
      <c r="A78" s="8">
        <v>3</v>
      </c>
      <c r="B78" s="9">
        <v>5.161744289665527E-2</v>
      </c>
    </row>
    <row r="79" spans="1:2">
      <c r="A79" s="8">
        <v>4</v>
      </c>
      <c r="B79" s="9">
        <v>5.223527268274928E-2</v>
      </c>
    </row>
    <row r="80" spans="1:2">
      <c r="A80" s="8">
        <v>5</v>
      </c>
      <c r="B80" s="9">
        <v>5.2464708040195519E-2</v>
      </c>
    </row>
    <row r="81" spans="1:2">
      <c r="A81" s="8">
        <v>6</v>
      </c>
      <c r="B81" s="9">
        <v>5.2831504482753158E-2</v>
      </c>
    </row>
    <row r="82" spans="1:2">
      <c r="A82" s="8">
        <v>7</v>
      </c>
      <c r="B82" s="9">
        <v>5.3193005928254121E-2</v>
      </c>
    </row>
    <row r="83" spans="1:2">
      <c r="A83" s="8">
        <v>8</v>
      </c>
      <c r="B83" s="9">
        <v>5.2528059964352357E-2</v>
      </c>
    </row>
    <row r="84" spans="1:2">
      <c r="A84" s="8">
        <v>9</v>
      </c>
      <c r="B84" s="9">
        <v>5.3072663056734887E-2</v>
      </c>
    </row>
    <row r="85" spans="1:2">
      <c r="A85" s="8">
        <v>10</v>
      </c>
      <c r="B85" s="9">
        <v>5.2636532322094309E-2</v>
      </c>
    </row>
    <row r="86" spans="1:2">
      <c r="A86" s="8">
        <v>11</v>
      </c>
      <c r="B86" s="9">
        <v>5.2493647743686533E-2</v>
      </c>
    </row>
    <row r="87" spans="1:2">
      <c r="A87" s="8">
        <v>12</v>
      </c>
      <c r="B87" s="9">
        <v>5.2467196459429634E-2</v>
      </c>
    </row>
    <row r="88" spans="1:2">
      <c r="A88" s="8">
        <v>1759</v>
      </c>
      <c r="B88" s="9">
        <v>5.1486964118528759E-2</v>
      </c>
    </row>
    <row r="89" spans="1:2">
      <c r="A89" s="8">
        <v>2</v>
      </c>
      <c r="B89" s="9">
        <v>5.1519283049414E-2</v>
      </c>
    </row>
    <row r="90" spans="1:2">
      <c r="A90" s="8">
        <v>3</v>
      </c>
      <c r="B90" s="9">
        <v>5.1011840256218195E-2</v>
      </c>
    </row>
    <row r="91" spans="1:2">
      <c r="A91" s="8">
        <v>4</v>
      </c>
      <c r="B91" s="9">
        <v>5.1698107042791763E-2</v>
      </c>
    </row>
    <row r="92" spans="1:2">
      <c r="A92" s="8">
        <v>5</v>
      </c>
      <c r="B92" s="9">
        <v>5.2536239498005718E-2</v>
      </c>
    </row>
    <row r="93" spans="1:2">
      <c r="A93" s="8">
        <v>6</v>
      </c>
      <c r="B93" s="9">
        <v>5.3213272837646736E-2</v>
      </c>
    </row>
    <row r="94" spans="1:2">
      <c r="A94" s="8">
        <v>7</v>
      </c>
      <c r="B94" s="9">
        <v>5.3366577153127918E-2</v>
      </c>
    </row>
    <row r="95" spans="1:2">
      <c r="A95" s="8">
        <v>8</v>
      </c>
      <c r="B95" s="9">
        <v>5.2903570123364774E-2</v>
      </c>
    </row>
    <row r="96" spans="1:2">
      <c r="A96" s="8">
        <v>9</v>
      </c>
      <c r="B96" s="9">
        <v>5.3893225018011116E-2</v>
      </c>
    </row>
    <row r="97" spans="1:2">
      <c r="A97" s="8">
        <v>10</v>
      </c>
      <c r="B97" s="9">
        <v>5.4130855497031685E-2</v>
      </c>
    </row>
    <row r="98" spans="1:2">
      <c r="A98" s="8">
        <v>11</v>
      </c>
      <c r="B98" s="9">
        <v>6.0241573529177889E-2</v>
      </c>
    </row>
    <row r="99" spans="1:2">
      <c r="A99" s="8">
        <v>12</v>
      </c>
      <c r="B99" s="9">
        <v>6.7474070389490021E-2</v>
      </c>
    </row>
    <row r="100" spans="1:2">
      <c r="A100" s="8">
        <v>1760</v>
      </c>
      <c r="B100" s="9">
        <v>6.7909242828240679E-2</v>
      </c>
    </row>
    <row r="101" spans="1:2">
      <c r="A101" s="8">
        <v>2</v>
      </c>
      <c r="B101" s="9">
        <v>6.8565604804858168E-2</v>
      </c>
    </row>
    <row r="102" spans="1:2">
      <c r="A102" s="8">
        <v>3</v>
      </c>
      <c r="B102" s="9">
        <v>6.9428514457516133E-2</v>
      </c>
    </row>
    <row r="103" spans="1:2">
      <c r="A103" s="8">
        <v>4</v>
      </c>
      <c r="B103" s="9">
        <v>6.9708892874998291E-2</v>
      </c>
    </row>
    <row r="104" spans="1:2">
      <c r="A104" s="8">
        <v>5</v>
      </c>
      <c r="B104" s="9">
        <v>6.9546503938974893E-2</v>
      </c>
    </row>
    <row r="105" spans="1:2">
      <c r="A105" s="8">
        <v>6</v>
      </c>
      <c r="B105" s="9">
        <v>6.7898047550903853E-2</v>
      </c>
    </row>
    <row r="106" spans="1:2">
      <c r="A106" s="8">
        <v>7</v>
      </c>
      <c r="B106" s="9">
        <v>6.6216395179446427E-2</v>
      </c>
    </row>
    <row r="107" spans="1:2">
      <c r="A107" s="8">
        <v>8</v>
      </c>
      <c r="B107" s="9">
        <v>6.6059186388636754E-2</v>
      </c>
    </row>
    <row r="108" spans="1:2">
      <c r="A108" s="8">
        <v>9</v>
      </c>
      <c r="B108" s="9">
        <v>6.7104276018676454E-2</v>
      </c>
    </row>
    <row r="109" spans="1:2">
      <c r="A109" s="8">
        <v>10</v>
      </c>
      <c r="B109" s="9">
        <v>6.7123644438000576E-2</v>
      </c>
    </row>
    <row r="110" spans="1:2">
      <c r="A110" s="8">
        <v>11</v>
      </c>
      <c r="B110" s="9">
        <v>6.7643639238614009E-2</v>
      </c>
    </row>
    <row r="111" spans="1:2">
      <c r="A111" s="8">
        <v>12</v>
      </c>
      <c r="B111" s="9">
        <v>6.7299080613799925E-2</v>
      </c>
    </row>
    <row r="112" spans="1:2">
      <c r="A112" s="8">
        <v>1761</v>
      </c>
      <c r="B112" s="9">
        <v>6.7733129303085712E-2</v>
      </c>
    </row>
    <row r="113" spans="1:2">
      <c r="A113" s="8">
        <v>2</v>
      </c>
      <c r="B113" s="9">
        <v>6.8254409849165948E-2</v>
      </c>
    </row>
    <row r="114" spans="1:2">
      <c r="A114" s="8">
        <v>3</v>
      </c>
      <c r="B114" s="9">
        <v>6.8571566498236605E-2</v>
      </c>
    </row>
    <row r="115" spans="1:2">
      <c r="A115" s="8">
        <v>4</v>
      </c>
      <c r="B115" s="9">
        <v>6.7722102083213123E-2</v>
      </c>
    </row>
    <row r="116" spans="1:2">
      <c r="A116" s="8">
        <v>5</v>
      </c>
      <c r="B116" s="9">
        <v>6.5372226844765013E-2</v>
      </c>
    </row>
    <row r="117" spans="1:2">
      <c r="A117" s="8">
        <v>6</v>
      </c>
      <c r="B117" s="9">
        <v>6.5482875966003384E-2</v>
      </c>
    </row>
    <row r="118" spans="1:2">
      <c r="A118" s="8">
        <v>7</v>
      </c>
      <c r="B118" s="9">
        <v>6.6471347259878244E-2</v>
      </c>
    </row>
    <row r="119" spans="1:2">
      <c r="A119" s="8">
        <v>8</v>
      </c>
      <c r="B119" s="9">
        <v>7.2432632581414996E-2</v>
      </c>
    </row>
    <row r="120" spans="1:2">
      <c r="A120" s="8">
        <v>9</v>
      </c>
      <c r="B120" s="9">
        <v>7.2702781143108741E-2</v>
      </c>
    </row>
    <row r="121" spans="1:2">
      <c r="A121" s="8">
        <v>10</v>
      </c>
      <c r="B121" s="9">
        <v>7.2910444975362101E-2</v>
      </c>
    </row>
    <row r="122" spans="1:2">
      <c r="A122" s="8">
        <v>11</v>
      </c>
      <c r="B122" s="9">
        <v>7.2650807092346142E-2</v>
      </c>
    </row>
    <row r="123" spans="1:2">
      <c r="A123" s="8">
        <v>12</v>
      </c>
      <c r="B123" s="9">
        <v>7.2568814103661936E-2</v>
      </c>
    </row>
    <row r="124" spans="1:2">
      <c r="A124" s="8">
        <v>1762</v>
      </c>
      <c r="B124" s="9">
        <v>7.3967692095575716E-2</v>
      </c>
    </row>
    <row r="125" spans="1:2">
      <c r="A125" s="8">
        <v>2</v>
      </c>
      <c r="B125" s="9">
        <v>7.3189618199037701E-2</v>
      </c>
    </row>
    <row r="126" spans="1:2">
      <c r="A126" s="8">
        <v>3</v>
      </c>
      <c r="B126" s="9">
        <v>7.239395516265909E-2</v>
      </c>
    </row>
    <row r="127" spans="1:2">
      <c r="A127" s="8">
        <v>4</v>
      </c>
      <c r="B127" s="9">
        <v>7.3128153285969694E-2</v>
      </c>
    </row>
    <row r="128" spans="1:2">
      <c r="A128" s="8">
        <v>5</v>
      </c>
      <c r="B128" s="9">
        <v>7.5123104230903182E-2</v>
      </c>
    </row>
    <row r="129" spans="1:2">
      <c r="A129" s="8">
        <v>6</v>
      </c>
      <c r="B129" s="9">
        <v>7.5895844186439049E-2</v>
      </c>
    </row>
    <row r="130" spans="1:2">
      <c r="A130" s="8">
        <v>7</v>
      </c>
      <c r="B130" s="9">
        <v>7.4147848437052327E-2</v>
      </c>
    </row>
    <row r="131" spans="1:2">
      <c r="A131" s="8">
        <v>8</v>
      </c>
      <c r="B131" s="9">
        <v>7.1631349546086465E-2</v>
      </c>
    </row>
    <row r="132" spans="1:2">
      <c r="A132" s="8">
        <v>9</v>
      </c>
      <c r="B132" s="9">
        <v>6.3057793476646043E-2</v>
      </c>
    </row>
    <row r="133" spans="1:2">
      <c r="A133" s="8">
        <v>10</v>
      </c>
      <c r="B133" s="9">
        <v>6.3237891335042942E-2</v>
      </c>
    </row>
    <row r="134" spans="1:2">
      <c r="A134" s="8">
        <v>11</v>
      </c>
      <c r="B134" s="9">
        <v>5.8214916431323163E-2</v>
      </c>
    </row>
    <row r="135" spans="1:2">
      <c r="A135" s="8">
        <v>12</v>
      </c>
      <c r="B135" s="9">
        <v>5.836791632375516E-2</v>
      </c>
    </row>
    <row r="136" spans="1:2">
      <c r="A136" s="8">
        <v>1763</v>
      </c>
      <c r="B136" s="9">
        <v>5.9412538327028475E-2</v>
      </c>
    </row>
    <row r="137" spans="1:2">
      <c r="A137" s="8">
        <v>2</v>
      </c>
      <c r="B137" s="9">
        <v>5.9818773045182322E-2</v>
      </c>
    </row>
    <row r="138" spans="1:2">
      <c r="A138" s="8">
        <v>3</v>
      </c>
      <c r="B138" s="9">
        <v>5.9940179700658743E-2</v>
      </c>
    </row>
    <row r="139" spans="1:2">
      <c r="A139" s="8">
        <v>4</v>
      </c>
      <c r="B139" s="9">
        <v>5.8725602741968863E-2</v>
      </c>
    </row>
    <row r="140" spans="1:2">
      <c r="A140" s="8">
        <v>5</v>
      </c>
      <c r="B140" s="9">
        <v>5.773178735304374E-2</v>
      </c>
    </row>
    <row r="141" spans="1:2">
      <c r="A141" s="8">
        <v>6</v>
      </c>
      <c r="B141" s="9">
        <v>5.8364891230021407E-2</v>
      </c>
    </row>
    <row r="142" spans="1:2">
      <c r="A142" s="8">
        <v>7</v>
      </c>
      <c r="B142" s="9">
        <v>5.8555414502068172E-2</v>
      </c>
    </row>
    <row r="143" spans="1:2">
      <c r="A143" s="8">
        <v>8</v>
      </c>
      <c r="B143" s="9">
        <v>5.9484875256647494E-2</v>
      </c>
    </row>
    <row r="144" spans="1:2">
      <c r="A144" s="8">
        <v>9</v>
      </c>
      <c r="B144" s="9">
        <v>6.0997955836504004E-2</v>
      </c>
    </row>
    <row r="145" spans="1:2">
      <c r="A145" s="8">
        <v>10</v>
      </c>
      <c r="B145" s="9">
        <v>6.1387037660456507E-2</v>
      </c>
    </row>
    <row r="146" spans="1:2">
      <c r="A146" s="8">
        <v>11</v>
      </c>
      <c r="B146" s="9">
        <v>6.1497831340475609E-2</v>
      </c>
    </row>
    <row r="147" spans="1:2">
      <c r="A147" s="8">
        <v>12</v>
      </c>
      <c r="B147" s="9">
        <v>6.1406579100884866E-2</v>
      </c>
    </row>
    <row r="148" spans="1:2">
      <c r="A148" s="8">
        <v>1764</v>
      </c>
      <c r="B148" s="9">
        <v>5.9412538327028475E-2</v>
      </c>
    </row>
    <row r="149" spans="1:2">
      <c r="A149" s="8">
        <v>2</v>
      </c>
      <c r="B149" s="9">
        <v>6.0006303062073635E-2</v>
      </c>
    </row>
    <row r="150" spans="1:2">
      <c r="A150" s="8">
        <v>3</v>
      </c>
      <c r="B150" s="9">
        <v>6.0790406592987074E-2</v>
      </c>
    </row>
    <row r="151" spans="1:2">
      <c r="A151" s="8">
        <v>4</v>
      </c>
      <c r="B151" s="9">
        <v>5.6880478869925949E-2</v>
      </c>
    </row>
    <row r="152" spans="1:2">
      <c r="A152" s="8">
        <v>5</v>
      </c>
      <c r="B152" s="9">
        <v>5.5889414075503026E-2</v>
      </c>
    </row>
    <row r="153" spans="1:2">
      <c r="A153" s="8">
        <v>6</v>
      </c>
      <c r="B153" s="9">
        <v>5.6654257873412182E-2</v>
      </c>
    </row>
    <row r="154" spans="1:2">
      <c r="A154" s="8">
        <v>7</v>
      </c>
      <c r="B154" s="9">
        <v>5.5820641580126062E-2</v>
      </c>
    </row>
    <row r="155" spans="1:2">
      <c r="A155" s="8">
        <v>8</v>
      </c>
      <c r="B155" s="9">
        <v>5.5156784262401559E-2</v>
      </c>
    </row>
    <row r="156" spans="1:2">
      <c r="A156" s="8">
        <v>9</v>
      </c>
      <c r="B156" s="9">
        <v>5.5406659392880427E-2</v>
      </c>
    </row>
    <row r="157" spans="1:2">
      <c r="A157" s="8">
        <v>10</v>
      </c>
      <c r="B157" s="9">
        <v>5.5359582633034608E-2</v>
      </c>
    </row>
    <row r="158" spans="1:2">
      <c r="A158" s="8">
        <v>11</v>
      </c>
      <c r="B158" s="9">
        <v>5.6335324073458558E-2</v>
      </c>
    </row>
    <row r="159" spans="1:2">
      <c r="A159" s="8">
        <v>12</v>
      </c>
      <c r="B159" s="9">
        <v>5.6462876336363356E-2</v>
      </c>
    </row>
    <row r="160" spans="1:2">
      <c r="A160" s="8">
        <v>1765</v>
      </c>
      <c r="B160" s="9">
        <v>5.8091035623746685E-2</v>
      </c>
    </row>
    <row r="161" spans="1:2">
      <c r="A161" s="8">
        <v>2</v>
      </c>
      <c r="B161" s="9">
        <v>5.8365027488760643E-2</v>
      </c>
    </row>
    <row r="162" spans="1:2">
      <c r="A162" s="8">
        <v>3</v>
      </c>
      <c r="B162" s="9">
        <v>5.8468235143338383E-2</v>
      </c>
    </row>
    <row r="163" spans="1:2">
      <c r="A163" s="8">
        <v>4</v>
      </c>
      <c r="B163" s="9">
        <v>5.8999013300501557E-2</v>
      </c>
    </row>
    <row r="164" spans="1:2">
      <c r="A164" s="8">
        <v>5</v>
      </c>
      <c r="B164" s="9">
        <v>5.9240849836056875E-2</v>
      </c>
    </row>
    <row r="165" spans="1:2">
      <c r="A165" s="8">
        <v>6</v>
      </c>
      <c r="B165" s="9">
        <v>5.9441779867592241E-2</v>
      </c>
    </row>
    <row r="166" spans="1:2">
      <c r="A166" s="8">
        <v>7</v>
      </c>
      <c r="B166" s="9">
        <v>5.9725839285411392E-2</v>
      </c>
    </row>
    <row r="167" spans="1:2">
      <c r="A167" s="8">
        <v>8</v>
      </c>
      <c r="B167" s="9">
        <v>5.9736399993022792E-2</v>
      </c>
    </row>
    <row r="168" spans="1:2">
      <c r="A168" s="8">
        <v>9</v>
      </c>
      <c r="B168" s="9">
        <v>6.0620785946064952E-2</v>
      </c>
    </row>
    <row r="169" spans="1:2">
      <c r="A169" s="8">
        <v>10</v>
      </c>
      <c r="B169" s="9">
        <v>6.1315236345710018E-2</v>
      </c>
    </row>
    <row r="170" spans="1:2">
      <c r="A170" s="8">
        <v>11</v>
      </c>
      <c r="B170" s="9">
        <v>6.0925205293571753E-2</v>
      </c>
    </row>
    <row r="171" spans="1:2">
      <c r="A171" s="8">
        <v>12</v>
      </c>
      <c r="B171" s="9">
        <v>6.0546922775306253E-2</v>
      </c>
    </row>
    <row r="172" spans="1:2">
      <c r="A172" s="8">
        <v>1766</v>
      </c>
      <c r="B172" s="9">
        <v>6.0937412402469672E-2</v>
      </c>
    </row>
    <row r="173" spans="1:2">
      <c r="A173" s="8">
        <v>2</v>
      </c>
      <c r="B173" s="9">
        <v>6.1406428270537078E-2</v>
      </c>
    </row>
    <row r="174" spans="1:2">
      <c r="A174" s="8">
        <v>3</v>
      </c>
      <c r="B174" s="9">
        <v>6.2959208728664701E-2</v>
      </c>
    </row>
    <row r="175" spans="1:2">
      <c r="A175" s="8">
        <v>4</v>
      </c>
      <c r="B175" s="9">
        <v>6.3827891409863655E-2</v>
      </c>
    </row>
    <row r="176" spans="1:2">
      <c r="A176" s="8">
        <v>5</v>
      </c>
      <c r="B176" s="9">
        <v>6.3487145757598451E-2</v>
      </c>
    </row>
    <row r="177" spans="1:2">
      <c r="A177" s="8">
        <v>6</v>
      </c>
      <c r="B177" s="9">
        <v>6.3702496093125921E-2</v>
      </c>
    </row>
    <row r="178" spans="1:2">
      <c r="A178" s="8">
        <v>7</v>
      </c>
      <c r="B178" s="9">
        <v>6.3849099548918875E-2</v>
      </c>
    </row>
    <row r="179" spans="1:2">
      <c r="A179" s="8">
        <v>8</v>
      </c>
      <c r="B179" s="9">
        <v>6.3430300502317238E-2</v>
      </c>
    </row>
    <row r="180" spans="1:2">
      <c r="A180" s="8">
        <v>9</v>
      </c>
      <c r="B180" s="9">
        <v>6.3672108000120214E-2</v>
      </c>
    </row>
    <row r="181" spans="1:2">
      <c r="A181" s="8">
        <v>10</v>
      </c>
      <c r="B181" s="9">
        <v>6.4088103197227284E-2</v>
      </c>
    </row>
    <row r="182" spans="1:2">
      <c r="A182" s="8">
        <v>11</v>
      </c>
      <c r="B182" s="9">
        <v>6.4056591179817352E-2</v>
      </c>
    </row>
    <row r="183" spans="1:2">
      <c r="A183" s="8">
        <v>12</v>
      </c>
      <c r="B183" s="9">
        <v>6.3666497568449124E-2</v>
      </c>
    </row>
    <row r="184" spans="1:2">
      <c r="A184" s="8">
        <v>1767</v>
      </c>
      <c r="B184" s="9">
        <v>6.4234689918596669E-2</v>
      </c>
    </row>
    <row r="185" spans="1:2">
      <c r="A185" s="8">
        <v>2</v>
      </c>
      <c r="B185" s="9">
        <v>6.4254963695945508E-2</v>
      </c>
    </row>
    <row r="186" spans="1:2">
      <c r="A186" s="8">
        <v>3</v>
      </c>
      <c r="B186" s="9">
        <v>6.5047825763414294E-2</v>
      </c>
    </row>
    <row r="187" spans="1:2">
      <c r="A187" s="8">
        <v>4</v>
      </c>
      <c r="B187" s="9">
        <v>6.7302468600706294E-2</v>
      </c>
    </row>
    <row r="188" spans="1:2">
      <c r="A188" s="8">
        <v>5</v>
      </c>
      <c r="B188" s="9">
        <v>6.8268034503210784E-2</v>
      </c>
    </row>
    <row r="189" spans="1:2">
      <c r="A189" s="8">
        <v>6</v>
      </c>
      <c r="B189" s="9">
        <v>6.8804353719329428E-2</v>
      </c>
    </row>
    <row r="190" spans="1:2">
      <c r="A190" s="8">
        <v>7</v>
      </c>
      <c r="B190" s="9">
        <v>6.9133172336001594E-2</v>
      </c>
    </row>
    <row r="191" spans="1:2">
      <c r="A191" s="8">
        <v>8</v>
      </c>
      <c r="B191" s="9">
        <v>6.896127493398338E-2</v>
      </c>
    </row>
    <row r="192" spans="1:2">
      <c r="A192" s="8">
        <v>9</v>
      </c>
      <c r="B192" s="9">
        <v>6.9420783527392185E-2</v>
      </c>
    </row>
    <row r="193" spans="1:2">
      <c r="A193" s="8">
        <v>10</v>
      </c>
      <c r="B193" s="9">
        <v>6.9342857158706944E-2</v>
      </c>
    </row>
    <row r="194" spans="1:2">
      <c r="A194" s="8">
        <v>11</v>
      </c>
      <c r="B194" s="9">
        <v>6.8950490789593435E-2</v>
      </c>
    </row>
    <row r="195" spans="1:2">
      <c r="A195" s="8">
        <v>12</v>
      </c>
      <c r="B195" s="9">
        <v>6.7649954241570956E-2</v>
      </c>
    </row>
    <row r="196" spans="1:2">
      <c r="A196" s="8">
        <v>1768</v>
      </c>
      <c r="B196" s="9">
        <v>6.7733129303085712E-2</v>
      </c>
    </row>
    <row r="197" spans="1:2">
      <c r="A197" s="8">
        <v>2</v>
      </c>
      <c r="B197" s="9">
        <v>6.5534990966656853E-2</v>
      </c>
    </row>
    <row r="198" spans="1:2">
      <c r="A198" s="8">
        <v>3</v>
      </c>
      <c r="B198" s="9">
        <v>6.5688762439480936E-2</v>
      </c>
    </row>
    <row r="199" spans="1:2">
      <c r="A199" s="8">
        <v>4</v>
      </c>
      <c r="B199" s="9">
        <v>6.3428546347111966E-2</v>
      </c>
    </row>
    <row r="200" spans="1:2">
      <c r="A200" s="8">
        <v>5</v>
      </c>
      <c r="B200" s="9">
        <v>6.3330612650213877E-2</v>
      </c>
    </row>
    <row r="201" spans="1:2">
      <c r="A201" s="8">
        <v>6</v>
      </c>
      <c r="B201" s="9">
        <v>6.1719327654332259E-2</v>
      </c>
    </row>
    <row r="202" spans="1:2">
      <c r="A202" s="8">
        <v>7</v>
      </c>
      <c r="B202" s="9">
        <v>6.2614051494797776E-2</v>
      </c>
    </row>
    <row r="203" spans="1:2">
      <c r="A203" s="8">
        <v>8</v>
      </c>
      <c r="B203" s="9">
        <v>6.267564850493508E-2</v>
      </c>
    </row>
    <row r="204" spans="1:2">
      <c r="A204" s="8">
        <v>9</v>
      </c>
      <c r="B204" s="9">
        <v>6.3057793476646043E-2</v>
      </c>
    </row>
    <row r="205" spans="1:2">
      <c r="A205" s="8">
        <v>10</v>
      </c>
      <c r="B205" s="9">
        <v>6.3237891335042942E-2</v>
      </c>
    </row>
    <row r="206" spans="1:2">
      <c r="A206" s="8">
        <v>11</v>
      </c>
      <c r="B206" s="9">
        <v>6.3129543591076115E-2</v>
      </c>
    </row>
    <row r="207" spans="1:2">
      <c r="A207" s="8">
        <v>12</v>
      </c>
      <c r="B207" s="9">
        <v>6.2704951132777478E-2</v>
      </c>
    </row>
    <row r="208" spans="1:2">
      <c r="A208" s="8">
        <v>1769</v>
      </c>
      <c r="B208" s="9">
        <v>6.2995189435353954E-2</v>
      </c>
    </row>
    <row r="209" spans="1:2">
      <c r="A209" s="8">
        <v>2</v>
      </c>
      <c r="B209" s="9">
        <v>6.3787763312697573E-2</v>
      </c>
    </row>
    <row r="210" spans="1:2">
      <c r="A210" s="8">
        <v>3</v>
      </c>
      <c r="B210" s="9">
        <v>6.5345365941890721E-2</v>
      </c>
    </row>
    <row r="211" spans="1:2">
      <c r="A211" s="8">
        <v>4</v>
      </c>
      <c r="B211" s="9">
        <v>6.7661818652252348E-2</v>
      </c>
    </row>
    <row r="212" spans="1:2">
      <c r="A212" s="8">
        <v>5</v>
      </c>
      <c r="B212" s="9">
        <v>6.8755325099928988E-2</v>
      </c>
    </row>
    <row r="213" spans="1:2">
      <c r="A213" s="8">
        <v>6</v>
      </c>
      <c r="B213" s="9">
        <v>7.2277543453981907E-2</v>
      </c>
    </row>
    <row r="214" spans="1:2">
      <c r="A214" s="8">
        <v>7</v>
      </c>
      <c r="B214" s="9">
        <v>7.4077146903871571E-2</v>
      </c>
    </row>
    <row r="215" spans="1:2">
      <c r="A215" s="8">
        <v>8</v>
      </c>
      <c r="B215" s="9">
        <v>7.3303894489306423E-2</v>
      </c>
    </row>
    <row r="216" spans="1:2">
      <c r="A216" s="8">
        <v>9</v>
      </c>
      <c r="B216" s="9">
        <v>7.478248019984271E-2</v>
      </c>
    </row>
    <row r="217" spans="1:2">
      <c r="A217" s="8">
        <v>10</v>
      </c>
      <c r="B217" s="9">
        <v>7.542759147330301E-2</v>
      </c>
    </row>
    <row r="218" spans="1:2">
      <c r="A218" s="8">
        <v>11</v>
      </c>
      <c r="B218" s="9">
        <v>7.7072265113794114E-2</v>
      </c>
    </row>
    <row r="219" spans="1:2">
      <c r="A219" s="8">
        <v>12</v>
      </c>
      <c r="B219" s="9">
        <v>7.9946812984257834E-2</v>
      </c>
    </row>
    <row r="220" spans="1:2">
      <c r="A220" s="8">
        <v>1770</v>
      </c>
      <c r="B220" s="9">
        <v>8.0462407802150027E-2</v>
      </c>
    </row>
    <row r="221" spans="1:2">
      <c r="A221" s="8">
        <v>2</v>
      </c>
      <c r="B221" s="9">
        <v>8.3394016379251965E-2</v>
      </c>
    </row>
    <row r="222" spans="1:2">
      <c r="A222" s="8">
        <v>3</v>
      </c>
      <c r="B222" s="9">
        <v>8.515485239598504E-2</v>
      </c>
    </row>
    <row r="223" spans="1:2">
      <c r="A223" s="8">
        <v>4</v>
      </c>
      <c r="B223" s="9">
        <v>9.0652725002783041E-2</v>
      </c>
    </row>
    <row r="224" spans="1:2">
      <c r="A224" s="8">
        <v>5</v>
      </c>
      <c r="B224" s="9">
        <v>0.1014636011731898</v>
      </c>
    </row>
    <row r="225" spans="1:2">
      <c r="A225" s="8">
        <v>6</v>
      </c>
      <c r="B225" s="9">
        <v>0.10102529448873343</v>
      </c>
    </row>
    <row r="226" spans="1:2">
      <c r="A226" s="8">
        <v>7</v>
      </c>
      <c r="B226" s="9">
        <v>9.9213129645103607E-2</v>
      </c>
    </row>
    <row r="227" spans="1:2">
      <c r="A227" s="8">
        <v>8</v>
      </c>
      <c r="B227" s="9">
        <v>9.6689813491795756E-2</v>
      </c>
    </row>
    <row r="228" spans="1:2">
      <c r="A228" s="8">
        <v>9</v>
      </c>
      <c r="B228" s="9">
        <v>9.6675355990885878E-2</v>
      </c>
    </row>
    <row r="229" spans="1:2">
      <c r="A229" s="8">
        <v>10</v>
      </c>
      <c r="B229" s="9">
        <v>9.716762841025986E-2</v>
      </c>
    </row>
    <row r="230" spans="1:2">
      <c r="A230" s="8">
        <v>11</v>
      </c>
      <c r="B230" s="9">
        <v>9.6668917978356472E-2</v>
      </c>
    </row>
    <row r="231" spans="1:2">
      <c r="A231" s="8">
        <v>12</v>
      </c>
      <c r="B231" s="9">
        <v>9.9155634684200328E-2</v>
      </c>
    </row>
    <row r="232" spans="1:2">
      <c r="A232" s="8">
        <v>1771</v>
      </c>
      <c r="B232" s="9">
        <v>9.8786072832117669E-2</v>
      </c>
    </row>
    <row r="233" spans="1:2">
      <c r="A233" s="8">
        <v>2</v>
      </c>
      <c r="B233" s="9">
        <v>9.1163501537421809E-2</v>
      </c>
    </row>
    <row r="234" spans="1:2">
      <c r="A234" s="8">
        <v>3</v>
      </c>
      <c r="B234" s="9">
        <v>9.6170943210416887E-2</v>
      </c>
    </row>
    <row r="235" spans="1:2">
      <c r="A235" s="8">
        <v>4</v>
      </c>
      <c r="B235" s="9">
        <v>9.8203615813488201E-2</v>
      </c>
    </row>
    <row r="236" spans="1:2">
      <c r="A236" s="8">
        <v>5</v>
      </c>
      <c r="B236" s="9">
        <v>0.10616918460650633</v>
      </c>
    </row>
    <row r="237" spans="1:2">
      <c r="A237" s="8">
        <v>6</v>
      </c>
      <c r="B237" s="9">
        <v>0.10349890705154154</v>
      </c>
    </row>
    <row r="238" spans="1:2">
      <c r="A238" s="8">
        <v>7</v>
      </c>
      <c r="B238" s="9">
        <v>0.10115314586283633</v>
      </c>
    </row>
    <row r="239" spans="1:2">
      <c r="A239" s="8">
        <v>8</v>
      </c>
      <c r="B239" s="9">
        <v>9.9151920572701502E-2</v>
      </c>
    </row>
    <row r="240" spans="1:2">
      <c r="A240" s="8">
        <v>9</v>
      </c>
      <c r="B240" s="9">
        <v>9.9137110589429603E-2</v>
      </c>
    </row>
    <row r="241" spans="1:2">
      <c r="A241" s="8">
        <v>10</v>
      </c>
      <c r="B241" s="9">
        <v>9.9011643769307267E-2</v>
      </c>
    </row>
    <row r="242" spans="1:2">
      <c r="A242" s="8">
        <v>11</v>
      </c>
      <c r="B242" s="9">
        <v>9.8491935261469821E-2</v>
      </c>
    </row>
    <row r="243" spans="1:2">
      <c r="A243" s="8">
        <v>12</v>
      </c>
      <c r="B243" s="9">
        <v>0.10264055369332645</v>
      </c>
    </row>
    <row r="244" spans="1:2">
      <c r="A244" s="8">
        <v>1772</v>
      </c>
      <c r="B244" s="9">
        <v>9.7824087942550736E-2</v>
      </c>
    </row>
    <row r="245" spans="1:2">
      <c r="A245" s="8">
        <v>2</v>
      </c>
      <c r="B245" s="9">
        <v>9.6338536185182358E-2</v>
      </c>
    </row>
    <row r="246" spans="1:2">
      <c r="A246" s="8">
        <v>3</v>
      </c>
      <c r="B246" s="9">
        <v>0.1001669449081803</v>
      </c>
    </row>
    <row r="247" spans="1:2">
      <c r="A247" s="8">
        <v>4</v>
      </c>
      <c r="B247" s="9">
        <v>9.5310753298069775E-2</v>
      </c>
    </row>
    <row r="248" spans="1:2">
      <c r="A248" s="8">
        <v>5</v>
      </c>
      <c r="B248" s="9">
        <v>8.7837819373431353E-2</v>
      </c>
    </row>
    <row r="249" spans="1:2">
      <c r="A249" s="8">
        <v>6</v>
      </c>
      <c r="B249" s="9">
        <v>8.9202670846902046E-2</v>
      </c>
    </row>
    <row r="250" spans="1:2">
      <c r="A250" s="8">
        <v>7</v>
      </c>
      <c r="B250" s="9">
        <v>9.0707774623834864E-2</v>
      </c>
    </row>
    <row r="251" spans="1:2">
      <c r="A251" s="8">
        <v>8</v>
      </c>
      <c r="B251" s="9">
        <v>8.6971344681354396E-2</v>
      </c>
    </row>
    <row r="252" spans="1:2">
      <c r="A252" s="8">
        <v>9</v>
      </c>
      <c r="B252" s="9">
        <v>8.3239858055694491E-2</v>
      </c>
    </row>
    <row r="253" spans="1:2">
      <c r="A253" s="8">
        <v>10</v>
      </c>
      <c r="B253" s="9">
        <v>8.3663743145615449E-2</v>
      </c>
    </row>
    <row r="254" spans="1:2">
      <c r="A254" s="8">
        <v>11</v>
      </c>
      <c r="B254" s="9">
        <v>8.3751033859984655E-2</v>
      </c>
    </row>
    <row r="255" spans="1:2">
      <c r="A255" s="8">
        <v>12</v>
      </c>
      <c r="B255" s="9">
        <v>8.0947743374786968E-2</v>
      </c>
    </row>
    <row r="256" spans="1:2">
      <c r="A256" s="8">
        <v>1773</v>
      </c>
      <c r="B256" s="9">
        <v>8.0289212448467706E-2</v>
      </c>
    </row>
    <row r="257" spans="1:2">
      <c r="A257" s="8">
        <v>2</v>
      </c>
      <c r="B257" s="9">
        <v>7.9297417829372399E-2</v>
      </c>
    </row>
    <row r="258" spans="1:2">
      <c r="A258" s="8">
        <v>3</v>
      </c>
      <c r="B258" s="9">
        <v>8.0273515055922104E-2</v>
      </c>
    </row>
    <row r="259" spans="1:2">
      <c r="A259" s="8">
        <v>4</v>
      </c>
      <c r="B259" s="9">
        <v>7.9852673591727125E-2</v>
      </c>
    </row>
    <row r="260" spans="1:2">
      <c r="A260" s="8">
        <v>5</v>
      </c>
      <c r="B260" s="9">
        <v>7.4904621448688674E-2</v>
      </c>
    </row>
    <row r="261" spans="1:2">
      <c r="A261" s="8">
        <v>6</v>
      </c>
      <c r="B261" s="9">
        <v>7.4904397021268526E-2</v>
      </c>
    </row>
    <row r="262" spans="1:2">
      <c r="A262" s="8">
        <v>7</v>
      </c>
      <c r="B262" s="9">
        <v>7.4938849898482832E-2</v>
      </c>
    </row>
    <row r="263" spans="1:2">
      <c r="A263" s="8">
        <v>8</v>
      </c>
      <c r="B263" s="9">
        <v>7.489038543917885E-2</v>
      </c>
    </row>
    <row r="264" spans="1:2">
      <c r="A264" s="8">
        <v>9</v>
      </c>
      <c r="B264" s="9">
        <v>7.3620571354530165E-2</v>
      </c>
    </row>
    <row r="265" spans="1:2">
      <c r="A265" s="8">
        <v>10</v>
      </c>
      <c r="B265" s="9">
        <v>7.1407353243607613E-2</v>
      </c>
    </row>
    <row r="266" spans="1:2">
      <c r="A266" s="8">
        <v>11</v>
      </c>
      <c r="B266" s="9">
        <v>7.1373308095731586E-2</v>
      </c>
    </row>
    <row r="267" spans="1:2">
      <c r="A267" s="8">
        <v>12</v>
      </c>
      <c r="B267" s="9">
        <v>7.0932986297638584E-2</v>
      </c>
    </row>
    <row r="268" spans="1:2">
      <c r="A268" s="8">
        <v>1774</v>
      </c>
      <c r="B268" s="9">
        <v>7.1186447112899176E-2</v>
      </c>
    </row>
    <row r="269" spans="1:2">
      <c r="A269" s="8">
        <v>2</v>
      </c>
      <c r="B269" s="9">
        <v>7.1889531670054518E-2</v>
      </c>
    </row>
    <row r="270" spans="1:2">
      <c r="A270" s="8">
        <v>3</v>
      </c>
      <c r="B270" s="9">
        <v>7.2434584326894383E-2</v>
      </c>
    </row>
    <row r="271" spans="1:2">
      <c r="A271" s="8">
        <v>4</v>
      </c>
      <c r="B271" s="9">
        <v>7.2329637985339909E-2</v>
      </c>
    </row>
    <row r="272" spans="1:2">
      <c r="A272" s="8">
        <v>5</v>
      </c>
      <c r="B272" s="9">
        <v>7.5367012227209096E-2</v>
      </c>
    </row>
    <row r="273" spans="1:2">
      <c r="A273" s="8">
        <v>6</v>
      </c>
      <c r="B273" s="9">
        <v>6.5496272534356428E-2</v>
      </c>
    </row>
    <row r="274" spans="1:2">
      <c r="A274" s="8">
        <v>7</v>
      </c>
      <c r="B274" s="9">
        <v>6.3579024347375446E-2</v>
      </c>
    </row>
    <row r="275" spans="1:2">
      <c r="A275" s="8">
        <v>8</v>
      </c>
      <c r="B275" s="9">
        <v>6.514512741952623E-2</v>
      </c>
    </row>
    <row r="276" spans="1:2">
      <c r="A276" s="8">
        <v>9</v>
      </c>
      <c r="B276" s="9">
        <v>6.4894143231468762E-2</v>
      </c>
    </row>
    <row r="277" spans="1:2">
      <c r="A277" s="8">
        <v>10</v>
      </c>
      <c r="B277" s="9">
        <v>6.4345702865271248E-2</v>
      </c>
    </row>
    <row r="278" spans="1:2">
      <c r="A278" s="8">
        <v>11</v>
      </c>
      <c r="B278" s="9">
        <v>6.1788047225840255E-2</v>
      </c>
    </row>
    <row r="279" spans="1:2">
      <c r="A279" s="8">
        <v>12</v>
      </c>
      <c r="B279" s="9">
        <v>6.0390428143979366E-2</v>
      </c>
    </row>
    <row r="280" spans="1:2">
      <c r="A280" s="8">
        <v>1775</v>
      </c>
      <c r="B280" s="9">
        <v>5.981780294792767E-2</v>
      </c>
    </row>
    <row r="281" spans="1:2">
      <c r="A281" s="8">
        <v>2</v>
      </c>
      <c r="B281" s="9">
        <v>5.9121579455329962E-2</v>
      </c>
    </row>
    <row r="282" spans="1:2">
      <c r="A282" s="8">
        <v>3</v>
      </c>
      <c r="B282" s="9">
        <v>5.8422574898390166E-2</v>
      </c>
    </row>
    <row r="283" spans="1:2">
      <c r="A283" s="8">
        <v>4</v>
      </c>
      <c r="B283" s="9">
        <v>5.7391736865263332E-2</v>
      </c>
    </row>
    <row r="284" spans="1:2">
      <c r="A284" s="8">
        <v>5</v>
      </c>
      <c r="B284" s="9">
        <v>5.812181298725453E-2</v>
      </c>
    </row>
    <row r="285" spans="1:2">
      <c r="A285" s="8">
        <v>6</v>
      </c>
      <c r="B285" s="9">
        <v>5.7492293477460973E-2</v>
      </c>
    </row>
    <row r="286" spans="1:2">
      <c r="A286" s="8">
        <v>7</v>
      </c>
      <c r="B286" s="9">
        <v>5.7600678305587724E-2</v>
      </c>
    </row>
    <row r="287" spans="1:2">
      <c r="A287" s="8">
        <v>8</v>
      </c>
      <c r="B287" s="9">
        <v>5.6414547130342427E-2</v>
      </c>
    </row>
    <row r="288" spans="1:2">
      <c r="A288" s="8">
        <v>9</v>
      </c>
      <c r="B288" s="9">
        <v>5.5600557685949271E-2</v>
      </c>
    </row>
    <row r="289" spans="1:2">
      <c r="A289" s="8">
        <v>10</v>
      </c>
      <c r="B289" s="9">
        <v>5.5520269339930622E-2</v>
      </c>
    </row>
    <row r="290" spans="1:2">
      <c r="A290" s="8">
        <v>11</v>
      </c>
      <c r="B290" s="9">
        <v>5.5284049446053828E-2</v>
      </c>
    </row>
    <row r="291" spans="1:2">
      <c r="A291" s="8">
        <v>12</v>
      </c>
      <c r="B291" s="9">
        <v>5.4827914670219836E-2</v>
      </c>
    </row>
    <row r="292" spans="1:2">
      <c r="A292" s="8">
        <v>1776</v>
      </c>
      <c r="B292" s="9">
        <v>5.4881127477882909E-2</v>
      </c>
    </row>
    <row r="293" spans="1:2">
      <c r="A293" s="8">
        <v>2</v>
      </c>
      <c r="B293" s="9">
        <v>5.5691745938710367E-2</v>
      </c>
    </row>
    <row r="294" spans="1:2">
      <c r="A294" s="8">
        <v>3</v>
      </c>
      <c r="B294" s="9">
        <v>5.5952737095993264E-2</v>
      </c>
    </row>
    <row r="295" spans="1:2">
      <c r="A295" s="8">
        <v>4</v>
      </c>
      <c r="B295" s="9">
        <v>5.5766614981341729E-2</v>
      </c>
    </row>
    <row r="296" spans="1:2">
      <c r="A296" s="8">
        <v>5</v>
      </c>
      <c r="B296" s="9">
        <v>5.5313147394295957E-2</v>
      </c>
    </row>
    <row r="297" spans="1:2">
      <c r="A297" s="8">
        <v>6</v>
      </c>
      <c r="B297" s="9">
        <v>5.59697872600824E-2</v>
      </c>
    </row>
    <row r="298" spans="1:2">
      <c r="A298" s="8">
        <v>7</v>
      </c>
      <c r="B298" s="9">
        <v>5.6345844281122194E-2</v>
      </c>
    </row>
    <row r="299" spans="1:2">
      <c r="A299" s="8">
        <v>8</v>
      </c>
      <c r="B299" s="9">
        <v>5.665395687601521E-2</v>
      </c>
    </row>
    <row r="300" spans="1:2">
      <c r="A300" s="8">
        <v>9</v>
      </c>
      <c r="B300" s="9">
        <v>5.7493630344575941E-2</v>
      </c>
    </row>
    <row r="301" spans="1:2">
      <c r="A301" s="8">
        <v>10</v>
      </c>
      <c r="B301" s="9">
        <v>5.9683850664108834E-2</v>
      </c>
    </row>
    <row r="302" spans="1:2">
      <c r="A302" s="8">
        <v>11</v>
      </c>
      <c r="B302" s="9">
        <v>5.9144720032553257E-2</v>
      </c>
    </row>
    <row r="303" spans="1:2">
      <c r="A303" s="8">
        <v>12</v>
      </c>
      <c r="B303" s="9">
        <v>6.1061211286174352E-2</v>
      </c>
    </row>
    <row r="304" spans="1:2">
      <c r="A304" s="8">
        <v>1777</v>
      </c>
      <c r="B304" s="9">
        <v>6.0047653818070021E-2</v>
      </c>
    </row>
    <row r="305" spans="1:2">
      <c r="A305" s="8">
        <v>2</v>
      </c>
      <c r="B305" s="9">
        <v>5.8683517443088723E-2</v>
      </c>
    </row>
    <row r="306" spans="1:2">
      <c r="A306" s="8">
        <v>3</v>
      </c>
      <c r="B306" s="9">
        <v>5.9191055573824397E-2</v>
      </c>
    </row>
    <row r="307" spans="1:2">
      <c r="A307" s="8">
        <v>4</v>
      </c>
      <c r="B307" s="9">
        <v>5.7942351223356177E-2</v>
      </c>
    </row>
    <row r="308" spans="1:2">
      <c r="A308" s="8">
        <v>5</v>
      </c>
      <c r="B308" s="9">
        <v>5.8158725760412415E-2</v>
      </c>
    </row>
    <row r="309" spans="1:2">
      <c r="A309" s="8">
        <v>6</v>
      </c>
      <c r="B309" s="9">
        <v>5.7813983892253236E-2</v>
      </c>
    </row>
    <row r="310" spans="1:2">
      <c r="A310" s="8">
        <v>7</v>
      </c>
      <c r="B310" s="9">
        <v>5.9174772295476206E-2</v>
      </c>
    </row>
    <row r="311" spans="1:2">
      <c r="A311" s="8">
        <v>8</v>
      </c>
      <c r="B311" s="9">
        <v>5.9846760375167375E-2</v>
      </c>
    </row>
    <row r="312" spans="1:2">
      <c r="A312" s="8">
        <v>9</v>
      </c>
      <c r="B312" s="9">
        <v>5.8969218068168412E-2</v>
      </c>
    </row>
    <row r="313" spans="1:2">
      <c r="A313" s="8">
        <v>10</v>
      </c>
      <c r="B313" s="9">
        <v>5.8506432197155754E-2</v>
      </c>
    </row>
    <row r="314" spans="1:2">
      <c r="A314" s="8">
        <v>11</v>
      </c>
      <c r="B314" s="9">
        <v>5.8848530421420867E-2</v>
      </c>
    </row>
    <row r="315" spans="1:2">
      <c r="A315" s="8">
        <v>12</v>
      </c>
      <c r="B315" s="9">
        <v>5.8208783783084576E-2</v>
      </c>
    </row>
    <row r="316" spans="1:2">
      <c r="A316" s="8">
        <v>1778</v>
      </c>
      <c r="B316" s="9">
        <v>5.8989873142933247E-2</v>
      </c>
    </row>
    <row r="317" spans="1:2">
      <c r="A317" s="8">
        <v>2</v>
      </c>
      <c r="B317" s="9">
        <v>6.0514453541036864E-2</v>
      </c>
    </row>
    <row r="318" spans="1:2">
      <c r="A318" s="8">
        <v>3</v>
      </c>
      <c r="B318" s="9">
        <v>6.1203655571940005E-2</v>
      </c>
    </row>
    <row r="319" spans="1:2">
      <c r="A319" s="8">
        <v>4</v>
      </c>
      <c r="B319" s="9">
        <v>6.3596258165759548E-2</v>
      </c>
    </row>
    <row r="320" spans="1:2">
      <c r="A320" s="8">
        <v>5</v>
      </c>
      <c r="B320" s="9">
        <v>6.2612598322650231E-2</v>
      </c>
    </row>
    <row r="321" spans="1:2">
      <c r="A321" s="8">
        <v>6</v>
      </c>
      <c r="B321" s="9">
        <v>6.3585492673114322E-2</v>
      </c>
    </row>
    <row r="322" spans="1:2">
      <c r="A322" s="8">
        <v>7</v>
      </c>
      <c r="B322" s="9">
        <v>6.3262275271310814E-2</v>
      </c>
    </row>
    <row r="323" spans="1:2">
      <c r="A323" s="8">
        <v>8</v>
      </c>
      <c r="B323" s="9">
        <v>6.1019067238130574E-2</v>
      </c>
    </row>
    <row r="324" spans="1:2">
      <c r="A324" s="8">
        <v>9</v>
      </c>
      <c r="B324" s="9">
        <v>6.0366140765791443E-2</v>
      </c>
    </row>
    <row r="325" spans="1:2">
      <c r="A325" s="8">
        <v>10</v>
      </c>
      <c r="B325" s="9">
        <v>6.07782533788657E-2</v>
      </c>
    </row>
    <row r="326" spans="1:2">
      <c r="A326" s="8">
        <v>11</v>
      </c>
      <c r="B326" s="9">
        <v>6.0867944424590981E-2</v>
      </c>
    </row>
    <row r="327" spans="1:2">
      <c r="A327" s="8">
        <v>12</v>
      </c>
      <c r="B327" s="9">
        <v>6.3123396139709742E-2</v>
      </c>
    </row>
    <row r="328" spans="1:2">
      <c r="A328" s="8">
        <v>1779</v>
      </c>
      <c r="B328" s="9">
        <v>6.3705863515991723E-2</v>
      </c>
    </row>
    <row r="329" spans="1:2">
      <c r="A329" s="8">
        <v>2</v>
      </c>
      <c r="B329" s="9">
        <v>6.3309410817299169E-2</v>
      </c>
    </row>
    <row r="330" spans="1:2">
      <c r="A330" s="8">
        <v>3</v>
      </c>
      <c r="B330" s="9">
        <v>6.3003132515748683E-2</v>
      </c>
    </row>
    <row r="331" spans="1:2">
      <c r="A331" s="8">
        <v>4</v>
      </c>
      <c r="B331" s="9">
        <v>6.2629015772491331E-2</v>
      </c>
    </row>
    <row r="332" spans="1:2">
      <c r="A332" s="8">
        <v>5</v>
      </c>
      <c r="B332" s="9">
        <v>6.2555570198192731E-2</v>
      </c>
    </row>
    <row r="333" spans="1:2">
      <c r="A333" s="8">
        <v>6</v>
      </c>
      <c r="B333" s="9">
        <v>6.0602028632707805E-2</v>
      </c>
    </row>
    <row r="334" spans="1:2">
      <c r="A334" s="8">
        <v>7</v>
      </c>
      <c r="B334" s="9">
        <v>6.0311900985550074E-2</v>
      </c>
    </row>
    <row r="335" spans="1:2">
      <c r="A335" s="8">
        <v>8</v>
      </c>
      <c r="B335" s="9">
        <v>6.0193695285603033E-2</v>
      </c>
    </row>
    <row r="336" spans="1:2">
      <c r="A336" s="8">
        <v>9</v>
      </c>
      <c r="B336" s="9">
        <v>6.0145954182148686E-2</v>
      </c>
    </row>
    <row r="337" spans="1:2">
      <c r="A337" s="8">
        <v>10</v>
      </c>
      <c r="B337" s="9">
        <v>6.0465211273510219E-2</v>
      </c>
    </row>
    <row r="338" spans="1:2">
      <c r="A338" s="8">
        <v>11</v>
      </c>
      <c r="B338" s="9">
        <v>6.1264616035591205E-2</v>
      </c>
    </row>
    <row r="339" spans="1:2">
      <c r="A339" s="8">
        <v>12</v>
      </c>
      <c r="B339" s="9">
        <v>6.1141121589038727E-2</v>
      </c>
    </row>
    <row r="340" spans="1:2">
      <c r="A340" s="8">
        <v>1780</v>
      </c>
      <c r="B340" s="9">
        <v>6.0998223731724928E-2</v>
      </c>
    </row>
    <row r="341" spans="1:2">
      <c r="A341" s="8">
        <v>2</v>
      </c>
      <c r="B341" s="9">
        <v>6.1058742309312193E-2</v>
      </c>
    </row>
    <row r="342" spans="1:2">
      <c r="A342" s="8">
        <v>3</v>
      </c>
      <c r="B342" s="9">
        <v>5.986030998062921E-2</v>
      </c>
    </row>
    <row r="343" spans="1:2">
      <c r="A343" s="8">
        <v>4</v>
      </c>
      <c r="B343" s="9">
        <v>6.0094757413489588E-2</v>
      </c>
    </row>
    <row r="344" spans="1:2">
      <c r="A344" s="8">
        <v>5</v>
      </c>
      <c r="B344" s="9">
        <v>5.9571245886274521E-2</v>
      </c>
    </row>
    <row r="345" spans="1:2">
      <c r="A345" s="8">
        <v>6</v>
      </c>
      <c r="B345" s="9">
        <v>5.9976649091287124E-2</v>
      </c>
    </row>
    <row r="346" spans="1:2">
      <c r="A346" s="8">
        <v>7</v>
      </c>
      <c r="B346" s="9">
        <v>5.9667738210848288E-2</v>
      </c>
    </row>
    <row r="347" spans="1:2">
      <c r="A347" s="8">
        <v>8</v>
      </c>
      <c r="B347" s="9">
        <v>5.8953241956681689E-2</v>
      </c>
    </row>
    <row r="348" spans="1:2">
      <c r="A348" s="8">
        <v>9</v>
      </c>
      <c r="B348" s="9">
        <v>5.8017218994889069E-2</v>
      </c>
    </row>
    <row r="349" spans="1:2">
      <c r="A349" s="8">
        <v>10</v>
      </c>
      <c r="B349" s="9">
        <v>5.8312664733277869E-2</v>
      </c>
    </row>
    <row r="350" spans="1:2">
      <c r="A350" s="8">
        <v>11</v>
      </c>
      <c r="B350" s="9">
        <v>5.8959251296120875E-2</v>
      </c>
    </row>
    <row r="351" spans="1:2">
      <c r="A351" s="8">
        <v>12</v>
      </c>
      <c r="B351" s="9">
        <v>5.88317274014915E-2</v>
      </c>
    </row>
    <row r="352" spans="1:2">
      <c r="A352" s="8">
        <v>1781</v>
      </c>
      <c r="B352" s="9">
        <v>5.895279400871925E-2</v>
      </c>
    </row>
    <row r="353" spans="1:2">
      <c r="A353" s="8">
        <v>2</v>
      </c>
      <c r="B353" s="9">
        <v>6.0258678454871074E-2</v>
      </c>
    </row>
    <row r="354" spans="1:2">
      <c r="A354" s="8">
        <v>3</v>
      </c>
      <c r="B354" s="9">
        <v>6.0060044028016277E-2</v>
      </c>
    </row>
    <row r="355" spans="1:2">
      <c r="A355" s="8">
        <v>4</v>
      </c>
      <c r="B355" s="9">
        <v>5.8832911915364279E-2</v>
      </c>
    </row>
    <row r="356" spans="1:2">
      <c r="A356" s="8">
        <v>5</v>
      </c>
      <c r="B356" s="9">
        <v>6.0945681957802839E-2</v>
      </c>
    </row>
    <row r="357" spans="1:2">
      <c r="A357" s="8">
        <v>6</v>
      </c>
      <c r="B357" s="9">
        <v>6.0972883326355323E-2</v>
      </c>
    </row>
    <row r="358" spans="1:2">
      <c r="A358" s="8">
        <v>7</v>
      </c>
      <c r="B358" s="9">
        <v>5.997521024643148E-2</v>
      </c>
    </row>
    <row r="359" spans="1:2">
      <c r="A359" s="8">
        <v>8</v>
      </c>
      <c r="B359" s="9">
        <v>5.9465916779431666E-2</v>
      </c>
    </row>
    <row r="360" spans="1:2">
      <c r="A360" s="8">
        <v>9</v>
      </c>
      <c r="B360" s="9">
        <v>5.9684927248052681E-2</v>
      </c>
    </row>
    <row r="361" spans="1:2">
      <c r="A361" s="8">
        <v>10</v>
      </c>
      <c r="B361" s="9">
        <v>5.99505527840637E-2</v>
      </c>
    </row>
    <row r="362" spans="1:2">
      <c r="A362" s="8">
        <v>11</v>
      </c>
      <c r="B362" s="9">
        <v>5.9594629384972835E-2</v>
      </c>
    </row>
    <row r="363" spans="1:2">
      <c r="A363" s="8">
        <v>12</v>
      </c>
      <c r="B363" s="9">
        <v>5.9581893989246126E-2</v>
      </c>
    </row>
    <row r="364" spans="1:2">
      <c r="A364" s="8">
        <v>1782</v>
      </c>
      <c r="B364" s="9">
        <v>6.0009217415795062E-2</v>
      </c>
    </row>
    <row r="365" spans="1:2">
      <c r="A365" s="8">
        <v>2</v>
      </c>
      <c r="B365" s="9">
        <v>5.9866441959085415E-2</v>
      </c>
    </row>
    <row r="366" spans="1:2">
      <c r="A366" s="8">
        <v>3</v>
      </c>
      <c r="B366" s="9">
        <v>5.9113284962026946E-2</v>
      </c>
    </row>
    <row r="367" spans="1:2">
      <c r="A367" s="8">
        <v>4</v>
      </c>
      <c r="B367" s="9">
        <v>5.816556660500255E-2</v>
      </c>
    </row>
    <row r="368" spans="1:2">
      <c r="A368" s="8">
        <v>5</v>
      </c>
      <c r="B368" s="9">
        <v>5.7901301698463914E-2</v>
      </c>
    </row>
    <row r="369" spans="1:2">
      <c r="A369" s="8">
        <v>6</v>
      </c>
      <c r="B369" s="9">
        <v>5.9250582828233082E-2</v>
      </c>
    </row>
    <row r="370" spans="1:2">
      <c r="A370" s="8">
        <v>7</v>
      </c>
      <c r="B370" s="9">
        <v>5.9325586730052761E-2</v>
      </c>
    </row>
    <row r="371" spans="1:2">
      <c r="A371" s="8">
        <v>8</v>
      </c>
      <c r="B371" s="9">
        <v>5.9052576214567144E-2</v>
      </c>
    </row>
    <row r="372" spans="1:2">
      <c r="A372" s="8">
        <v>9</v>
      </c>
      <c r="B372" s="9">
        <v>5.8969218068168412E-2</v>
      </c>
    </row>
    <row r="373" spans="1:2">
      <c r="A373" s="8">
        <v>10</v>
      </c>
      <c r="B373" s="9">
        <v>5.9494801873055017E-2</v>
      </c>
    </row>
    <row r="374" spans="1:2">
      <c r="A374" s="8">
        <v>11</v>
      </c>
      <c r="B374" s="9">
        <v>5.9331343667710722E-2</v>
      </c>
    </row>
    <row r="375" spans="1:2">
      <c r="A375" s="8">
        <v>12</v>
      </c>
      <c r="B375" s="9">
        <v>5.9468148595309474E-2</v>
      </c>
    </row>
    <row r="376" spans="1:2">
      <c r="A376" s="8">
        <v>1783</v>
      </c>
      <c r="B376" s="9">
        <v>5.9551868221508597E-2</v>
      </c>
    </row>
    <row r="377" spans="1:2">
      <c r="A377" s="8">
        <v>2</v>
      </c>
      <c r="B377" s="9">
        <v>5.9121579455329962E-2</v>
      </c>
    </row>
    <row r="378" spans="1:2">
      <c r="A378" s="8">
        <v>3</v>
      </c>
      <c r="B378" s="9">
        <v>5.782202176112515E-2</v>
      </c>
    </row>
    <row r="379" spans="1:2">
      <c r="A379" s="8">
        <v>4</v>
      </c>
      <c r="B379" s="9">
        <v>5.7831384758371483E-2</v>
      </c>
    </row>
    <row r="380" spans="1:2">
      <c r="A380" s="8">
        <v>5</v>
      </c>
      <c r="B380" s="9">
        <v>5.823269214394397E-2</v>
      </c>
    </row>
    <row r="381" spans="1:2">
      <c r="A381" s="8">
        <v>6</v>
      </c>
      <c r="B381" s="9">
        <v>5.868967093092773E-2</v>
      </c>
    </row>
    <row r="382" spans="1:2">
      <c r="A382" s="8">
        <v>7</v>
      </c>
      <c r="B382" s="9">
        <v>5.8103891824498363E-2</v>
      </c>
    </row>
    <row r="383" spans="1:2">
      <c r="A383" s="8">
        <v>8</v>
      </c>
      <c r="B383" s="9">
        <v>5.8025882122354669E-2</v>
      </c>
    </row>
    <row r="384" spans="1:2">
      <c r="A384" s="8">
        <v>9</v>
      </c>
      <c r="B384" s="9">
        <v>5.7588132237708457E-2</v>
      </c>
    </row>
    <row r="385" spans="1:2">
      <c r="A385" s="8">
        <v>10</v>
      </c>
      <c r="B385" s="9">
        <v>5.816819812760448E-2</v>
      </c>
    </row>
    <row r="386" spans="1:2">
      <c r="A386" s="8">
        <v>11</v>
      </c>
      <c r="B386" s="9">
        <v>5.8664911760150727E-2</v>
      </c>
    </row>
    <row r="387" spans="1:2">
      <c r="A387" s="8">
        <v>12</v>
      </c>
      <c r="B387" s="9">
        <v>5.9005079944015978E-2</v>
      </c>
    </row>
    <row r="388" spans="1:2">
      <c r="A388" s="8">
        <v>1784</v>
      </c>
      <c r="B388" s="9">
        <v>5.9363355712878707E-2</v>
      </c>
    </row>
    <row r="389" spans="1:2">
      <c r="A389" s="8">
        <v>2</v>
      </c>
      <c r="B389" s="9">
        <v>5.9553806996963554E-2</v>
      </c>
    </row>
    <row r="390" spans="1:2">
      <c r="A390" s="8">
        <v>3</v>
      </c>
      <c r="B390" s="9">
        <v>5.8958386122925359E-2</v>
      </c>
    </row>
    <row r="391" spans="1:2">
      <c r="A391" s="8">
        <v>4</v>
      </c>
      <c r="B391" s="9">
        <v>5.8960533653100326E-2</v>
      </c>
    </row>
    <row r="392" spans="1:2">
      <c r="A392" s="8">
        <v>5</v>
      </c>
      <c r="B392" s="9">
        <v>5.823269214394397E-2</v>
      </c>
    </row>
    <row r="393" spans="1:2">
      <c r="A393" s="8">
        <v>6</v>
      </c>
      <c r="B393" s="9">
        <v>5.8801008241287978E-2</v>
      </c>
    </row>
    <row r="394" spans="1:2">
      <c r="A394" s="8">
        <v>7</v>
      </c>
      <c r="B394" s="9">
        <v>5.8055601785016231E-2</v>
      </c>
    </row>
    <row r="395" spans="1:2">
      <c r="A395" s="8">
        <v>8</v>
      </c>
      <c r="B395" s="9">
        <v>5.7596726662830298E-2</v>
      </c>
    </row>
    <row r="396" spans="1:2">
      <c r="A396" s="8">
        <v>9</v>
      </c>
      <c r="B396" s="9">
        <v>5.7635499779191995E-2</v>
      </c>
    </row>
    <row r="397" spans="1:2">
      <c r="A397" s="8">
        <v>10</v>
      </c>
      <c r="B397" s="9">
        <v>5.7269570157514223E-2</v>
      </c>
    </row>
    <row r="398" spans="1:2">
      <c r="A398" s="8">
        <v>11</v>
      </c>
      <c r="B398" s="9">
        <v>5.8228879350279573E-2</v>
      </c>
    </row>
    <row r="399" spans="1:2">
      <c r="A399" s="8">
        <v>12</v>
      </c>
      <c r="B399" s="9">
        <v>5.8573600071433765E-2</v>
      </c>
    </row>
    <row r="400" spans="1:2">
      <c r="A400" s="8">
        <v>1785</v>
      </c>
      <c r="B400" s="9">
        <v>5.8028515986469291E-2</v>
      </c>
    </row>
    <row r="401" spans="1:2">
      <c r="A401" s="8">
        <v>2</v>
      </c>
      <c r="B401" s="9">
        <v>5.7686184081997445E-2</v>
      </c>
    </row>
    <row r="402" spans="1:2">
      <c r="A402" s="8">
        <v>3</v>
      </c>
      <c r="B402" s="9">
        <v>5.5504149120160565E-2</v>
      </c>
    </row>
    <row r="403" spans="1:2">
      <c r="A403" s="8">
        <v>4</v>
      </c>
      <c r="B403" s="9">
        <v>5.5189072857915855E-2</v>
      </c>
    </row>
    <row r="404" spans="1:2">
      <c r="A404" s="8">
        <v>5</v>
      </c>
      <c r="B404" s="9">
        <v>5.5615496702001048E-2</v>
      </c>
    </row>
    <row r="405" spans="1:2">
      <c r="A405" s="8">
        <v>6</v>
      </c>
      <c r="B405" s="9">
        <v>5.5835366567867022E-2</v>
      </c>
    </row>
    <row r="406" spans="1:2">
      <c r="A406" s="8">
        <v>7</v>
      </c>
      <c r="B406" s="9">
        <v>5.4819846148710896E-2</v>
      </c>
    </row>
    <row r="407" spans="1:2">
      <c r="A407" s="8">
        <v>8</v>
      </c>
      <c r="B407" s="9">
        <v>5.5214588430457845E-2</v>
      </c>
    </row>
    <row r="408" spans="1:2">
      <c r="A408" s="8">
        <v>9</v>
      </c>
      <c r="B408" s="9">
        <v>5.5206337982034143E-2</v>
      </c>
    </row>
    <row r="409" spans="1:2">
      <c r="A409" s="8">
        <v>10</v>
      </c>
      <c r="B409" s="9">
        <v>5.5334899106033959E-2</v>
      </c>
    </row>
    <row r="410" spans="1:2">
      <c r="A410" s="8">
        <v>11</v>
      </c>
      <c r="B410" s="9">
        <v>5.4918031786556798E-2</v>
      </c>
    </row>
    <row r="411" spans="1:2">
      <c r="A411" s="8">
        <v>12</v>
      </c>
      <c r="B411" s="9">
        <v>5.4667552038042778E-2</v>
      </c>
    </row>
    <row r="412" spans="1:2">
      <c r="A412" s="8">
        <v>1786</v>
      </c>
      <c r="B412" s="9">
        <v>5.5641036674120098E-2</v>
      </c>
    </row>
    <row r="413" spans="1:2">
      <c r="A413" s="8">
        <v>2</v>
      </c>
      <c r="B413" s="9">
        <v>5.5626551517232739E-2</v>
      </c>
    </row>
    <row r="414" spans="1:2">
      <c r="A414" s="8">
        <v>3</v>
      </c>
      <c r="B414" s="9">
        <v>5.4794520547945202E-2</v>
      </c>
    </row>
    <row r="415" spans="1:2">
      <c r="A415" s="8">
        <v>4</v>
      </c>
      <c r="B415" s="9">
        <v>5.5527339440847097E-2</v>
      </c>
    </row>
    <row r="416" spans="1:2">
      <c r="A416" s="8">
        <v>5</v>
      </c>
      <c r="B416" s="9">
        <v>5.5047137475455095E-2</v>
      </c>
    </row>
    <row r="417" spans="1:2">
      <c r="A417" s="8">
        <v>6</v>
      </c>
      <c r="B417" s="9">
        <v>5.5668239067623797E-2</v>
      </c>
    </row>
    <row r="418" spans="1:2">
      <c r="A418" s="8">
        <v>7</v>
      </c>
      <c r="B418" s="9">
        <v>5.5407023689827049E-2</v>
      </c>
    </row>
    <row r="419" spans="1:2">
      <c r="A419" s="8">
        <v>8</v>
      </c>
      <c r="B419" s="9">
        <v>5.4858059038974574E-2</v>
      </c>
    </row>
    <row r="420" spans="1:2">
      <c r="A420" s="8">
        <v>9</v>
      </c>
      <c r="B420" s="9">
        <v>5.4561604780469564E-2</v>
      </c>
    </row>
    <row r="421" spans="1:2">
      <c r="A421" s="8">
        <v>10</v>
      </c>
      <c r="B421" s="9">
        <v>5.5596971867685134E-2</v>
      </c>
    </row>
    <row r="422" spans="1:2">
      <c r="A422" s="8">
        <v>11</v>
      </c>
      <c r="B422" s="9">
        <v>5.5643995159714348E-2</v>
      </c>
    </row>
    <row r="423" spans="1:2">
      <c r="A423" s="8">
        <v>12</v>
      </c>
      <c r="B423" s="9">
        <v>5.5478885106187814E-2</v>
      </c>
    </row>
    <row r="424" spans="1:2">
      <c r="A424" s="8">
        <v>1787</v>
      </c>
      <c r="B424" s="9">
        <v>5.586201040672012E-2</v>
      </c>
    </row>
    <row r="425" spans="1:2">
      <c r="A425" s="8">
        <v>2</v>
      </c>
      <c r="B425" s="9">
        <v>5.6530958865561844E-2</v>
      </c>
    </row>
    <row r="426" spans="1:2">
      <c r="A426" s="8">
        <v>3</v>
      </c>
      <c r="B426" s="9">
        <v>5.6022395014654218E-2</v>
      </c>
    </row>
    <row r="427" spans="1:2">
      <c r="A427" s="8">
        <v>4</v>
      </c>
      <c r="B427" s="9">
        <v>5.5155480849159076E-2</v>
      </c>
    </row>
    <row r="428" spans="1:2">
      <c r="A428" s="8">
        <v>5</v>
      </c>
      <c r="B428" s="9">
        <v>5.6092450330135234E-2</v>
      </c>
    </row>
    <row r="429" spans="1:2">
      <c r="A429" s="8">
        <v>6</v>
      </c>
      <c r="B429" s="9">
        <v>5.7958112512924653E-2</v>
      </c>
    </row>
    <row r="430" spans="1:2">
      <c r="A430" s="8">
        <v>7</v>
      </c>
      <c r="B430" s="9">
        <v>5.7959232248825945E-2</v>
      </c>
    </row>
    <row r="431" spans="1:2">
      <c r="A431" s="8">
        <v>8</v>
      </c>
      <c r="B431" s="9">
        <v>5.8267105215113094E-2</v>
      </c>
    </row>
    <row r="432" spans="1:2">
      <c r="A432" s="8">
        <v>9</v>
      </c>
      <c r="B432" s="9">
        <v>5.8210003583149109E-2</v>
      </c>
    </row>
    <row r="433" spans="1:2">
      <c r="A433" s="8">
        <v>10</v>
      </c>
      <c r="B433" s="9">
        <v>5.8312664733277869E-2</v>
      </c>
    </row>
    <row r="434" spans="1:2">
      <c r="A434" s="8">
        <v>11</v>
      </c>
      <c r="B434" s="9">
        <v>5.8084962035668812E-2</v>
      </c>
    </row>
    <row r="435" spans="1:2">
      <c r="A435" s="8">
        <v>12</v>
      </c>
      <c r="B435" s="9">
        <v>5.8807048063915165E-2</v>
      </c>
    </row>
    <row r="436" spans="1:2">
      <c r="A436" s="8">
        <v>1788</v>
      </c>
      <c r="B436" s="9">
        <v>5.9400937584398829E-2</v>
      </c>
    </row>
    <row r="437" spans="1:2">
      <c r="A437" s="8">
        <v>2</v>
      </c>
      <c r="B437" s="9">
        <v>5.8538930730493009E-2</v>
      </c>
    </row>
    <row r="438" spans="1:2">
      <c r="A438" s="8">
        <v>3</v>
      </c>
      <c r="B438" s="9">
        <v>5.8233566293480095E-2</v>
      </c>
    </row>
    <row r="439" spans="1:2">
      <c r="A439" s="8">
        <v>4</v>
      </c>
      <c r="B439" s="9">
        <v>5.8315324697136121E-2</v>
      </c>
    </row>
    <row r="440" spans="1:2">
      <c r="A440" s="8">
        <v>5</v>
      </c>
      <c r="B440" s="9">
        <v>5.8907000246100349E-2</v>
      </c>
    </row>
    <row r="441" spans="1:2">
      <c r="A441" s="8">
        <v>6</v>
      </c>
      <c r="B441" s="9">
        <v>5.9860835529560875E-2</v>
      </c>
    </row>
    <row r="442" spans="1:2">
      <c r="A442" s="8">
        <v>7</v>
      </c>
      <c r="B442" s="9">
        <v>6.0246851432603186E-2</v>
      </c>
    </row>
    <row r="443" spans="1:2">
      <c r="A443" s="8">
        <v>8</v>
      </c>
      <c r="B443" s="9">
        <v>6.1138828889808539E-2</v>
      </c>
    </row>
    <row r="444" spans="1:2">
      <c r="A444" s="8">
        <v>9</v>
      </c>
      <c r="B444" s="9">
        <v>6.1370593557287814E-2</v>
      </c>
    </row>
    <row r="445" spans="1:2">
      <c r="A445" s="8">
        <v>10</v>
      </c>
      <c r="B445" s="9">
        <v>6.2090941428373139E-2</v>
      </c>
    </row>
    <row r="446" spans="1:2">
      <c r="A446" s="8">
        <v>11</v>
      </c>
      <c r="B446" s="9">
        <v>6.341352466743834E-2</v>
      </c>
    </row>
    <row r="447" spans="1:2">
      <c r="A447" s="8">
        <v>12</v>
      </c>
      <c r="B447" s="9">
        <v>6.3038241518834984E-2</v>
      </c>
    </row>
    <row r="448" spans="1:2">
      <c r="A448" s="8">
        <v>1789</v>
      </c>
      <c r="B448" s="9">
        <v>6.273964802778613E-2</v>
      </c>
    </row>
    <row r="449" spans="1:2">
      <c r="A449" s="8">
        <v>2</v>
      </c>
      <c r="B449" s="9">
        <v>6.3085273626065821E-2</v>
      </c>
    </row>
    <row r="450" spans="1:2">
      <c r="A450" s="8">
        <v>3</v>
      </c>
      <c r="B450" s="9">
        <v>6.3716778071913296E-2</v>
      </c>
    </row>
    <row r="451" spans="1:2">
      <c r="A451" s="8">
        <v>4</v>
      </c>
      <c r="B451" s="9">
        <v>6.3241080056461632E-2</v>
      </c>
    </row>
    <row r="452" spans="1:2">
      <c r="A452" s="8">
        <v>5</v>
      </c>
      <c r="B452" s="9">
        <v>6.4737303216580805E-2</v>
      </c>
    </row>
    <row r="453" spans="1:2">
      <c r="A453" s="8">
        <v>6</v>
      </c>
      <c r="B453" s="9">
        <v>6.5805270797463372E-2</v>
      </c>
    </row>
    <row r="454" spans="1:2">
      <c r="A454" s="8">
        <v>7</v>
      </c>
      <c r="B454" s="9">
        <v>6.5579179280943242E-2</v>
      </c>
    </row>
    <row r="455" spans="1:2">
      <c r="A455" s="8">
        <v>8</v>
      </c>
      <c r="B455" s="9">
        <v>6.5756345560409185E-2</v>
      </c>
    </row>
    <row r="456" spans="1:2">
      <c r="A456" s="8">
        <v>9</v>
      </c>
      <c r="B456" s="9">
        <v>6.5684877239343437E-2</v>
      </c>
    </row>
    <row r="457" spans="1:2">
      <c r="A457" s="8">
        <v>10</v>
      </c>
      <c r="B457" s="9">
        <v>6.5406292259732171E-2</v>
      </c>
    </row>
    <row r="458" spans="1:2">
      <c r="A458" s="8">
        <v>11</v>
      </c>
      <c r="B458" s="9">
        <v>6.6088242784118498E-2</v>
      </c>
    </row>
    <row r="459" spans="1:2">
      <c r="A459" s="8">
        <v>12</v>
      </c>
      <c r="B459" s="9">
        <v>6.5026702854267635E-2</v>
      </c>
    </row>
    <row r="460" spans="1:2">
      <c r="A460" s="8">
        <v>1790</v>
      </c>
      <c r="B460" s="9">
        <v>6.458344396238086E-2</v>
      </c>
    </row>
    <row r="461" spans="1:2">
      <c r="A461" s="8">
        <v>2</v>
      </c>
      <c r="B461" s="9">
        <v>6.5884196665205494E-2</v>
      </c>
    </row>
    <row r="462" spans="1:2">
      <c r="A462" s="8">
        <v>3</v>
      </c>
      <c r="B462" s="9">
        <v>6.7039086170849568E-2</v>
      </c>
    </row>
    <row r="463" spans="1:2">
      <c r="A463" s="8">
        <v>4</v>
      </c>
      <c r="B463" s="9">
        <v>6.7817494381697346E-2</v>
      </c>
    </row>
    <row r="464" spans="1:2">
      <c r="A464" s="8">
        <v>5</v>
      </c>
      <c r="B464" s="9">
        <v>6.348070637944421E-2</v>
      </c>
    </row>
    <row r="465" spans="1:2">
      <c r="A465" s="8">
        <v>6</v>
      </c>
      <c r="B465" s="9">
        <v>6.2558892246061648E-2</v>
      </c>
    </row>
    <row r="466" spans="1:2">
      <c r="A466" s="8">
        <v>7</v>
      </c>
      <c r="B466" s="9">
        <v>6.2976998281147792E-2</v>
      </c>
    </row>
    <row r="467" spans="1:2">
      <c r="A467" s="8">
        <v>8</v>
      </c>
      <c r="B467" s="9">
        <v>6.4604695354405564E-2</v>
      </c>
    </row>
    <row r="468" spans="1:2">
      <c r="A468" s="8">
        <v>9</v>
      </c>
      <c r="B468" s="9">
        <v>6.4416922354132169E-2</v>
      </c>
    </row>
    <row r="469" spans="1:2">
      <c r="A469" s="8">
        <v>10</v>
      </c>
      <c r="B469" s="9">
        <v>6.1521483712255541E-2</v>
      </c>
    </row>
    <row r="470" spans="1:2">
      <c r="A470" s="8">
        <v>11</v>
      </c>
      <c r="B470" s="9">
        <v>6.0476376449047575E-2</v>
      </c>
    </row>
    <row r="471" spans="1:2">
      <c r="A471" s="8">
        <v>12</v>
      </c>
      <c r="B471" s="9">
        <v>5.597736225712667E-2</v>
      </c>
    </row>
    <row r="472" spans="1:2">
      <c r="A472" s="8">
        <v>1791</v>
      </c>
      <c r="B472" s="9">
        <v>5.2289854048559382E-2</v>
      </c>
    </row>
    <row r="473" spans="1:2">
      <c r="A473" s="8">
        <v>2</v>
      </c>
      <c r="B473" s="9">
        <v>5.2454032782604847E-2</v>
      </c>
    </row>
    <row r="474" spans="1:2">
      <c r="A474" s="8">
        <v>3</v>
      </c>
      <c r="B474" s="9">
        <v>5.1590701842200784E-2</v>
      </c>
    </row>
    <row r="475" spans="1:2">
      <c r="A475" s="8">
        <v>4</v>
      </c>
      <c r="B475" s="9">
        <v>5.1371059326039102E-2</v>
      </c>
    </row>
    <row r="476" spans="1:2">
      <c r="A476" s="8">
        <v>5</v>
      </c>
      <c r="B476" s="9">
        <v>5.1429888033705087E-2</v>
      </c>
    </row>
    <row r="477" spans="1:2">
      <c r="A477" s="8">
        <v>6</v>
      </c>
      <c r="B477" s="9">
        <v>5.2111958721770081E-2</v>
      </c>
    </row>
    <row r="478" spans="1:2">
      <c r="A478" s="8">
        <v>7</v>
      </c>
      <c r="B478" s="9">
        <v>5.2669846208730838E-2</v>
      </c>
    </row>
    <row r="479" spans="1:2">
      <c r="A479" s="8">
        <v>8</v>
      </c>
      <c r="B479" s="9">
        <v>5.2623577701636011E-2</v>
      </c>
    </row>
    <row r="480" spans="1:2">
      <c r="A480" s="8">
        <v>9</v>
      </c>
      <c r="B480" s="9">
        <v>5.1751167506338944E-2</v>
      </c>
    </row>
    <row r="481" spans="1:2">
      <c r="A481" s="8">
        <v>10</v>
      </c>
      <c r="B481" s="9">
        <v>5.0804735723925715E-2</v>
      </c>
    </row>
    <row r="482" spans="1:2">
      <c r="A482" s="8">
        <v>11</v>
      </c>
      <c r="B482" s="9">
        <v>5.0720547367130199E-2</v>
      </c>
    </row>
    <row r="483" spans="1:2">
      <c r="A483" s="8">
        <v>12</v>
      </c>
      <c r="B483" s="9">
        <v>5.1137723434918611E-2</v>
      </c>
    </row>
    <row r="484" spans="1:2">
      <c r="A484" s="8">
        <v>1792</v>
      </c>
      <c r="B484" s="9">
        <v>5.2524183885066814E-2</v>
      </c>
    </row>
    <row r="485" spans="1:2">
      <c r="A485" s="8">
        <v>2</v>
      </c>
      <c r="B485" s="9">
        <v>5.334715459317816E-2</v>
      </c>
    </row>
    <row r="486" spans="1:2">
      <c r="A486" s="8">
        <v>3</v>
      </c>
      <c r="B486" s="9">
        <v>5.1413869999686952E-2</v>
      </c>
    </row>
    <row r="487" spans="1:2">
      <c r="A487" s="8">
        <v>4</v>
      </c>
      <c r="B487" s="9">
        <v>5.3780275307204882E-2</v>
      </c>
    </row>
    <row r="488" spans="1:2">
      <c r="A488" s="8">
        <v>5</v>
      </c>
      <c r="B488" s="9">
        <v>5.3503301034777621E-2</v>
      </c>
    </row>
    <row r="489" spans="1:2">
      <c r="A489" s="8">
        <v>6</v>
      </c>
      <c r="B489" s="9">
        <v>5.3124135994954864E-2</v>
      </c>
    </row>
    <row r="490" spans="1:2">
      <c r="A490" s="8">
        <v>7</v>
      </c>
      <c r="B490" s="9">
        <v>5.3806125767634057E-2</v>
      </c>
    </row>
    <row r="491" spans="1:2">
      <c r="A491" s="8">
        <v>8</v>
      </c>
      <c r="B491" s="9">
        <v>5.5394596638705114E-2</v>
      </c>
    </row>
    <row r="492" spans="1:2">
      <c r="A492" s="8">
        <v>9</v>
      </c>
      <c r="B492" s="9">
        <v>6.1370593557287814E-2</v>
      </c>
    </row>
    <row r="493" spans="1:2">
      <c r="A493" s="8">
        <v>10</v>
      </c>
      <c r="B493" s="9">
        <v>5.9083062382785774E-2</v>
      </c>
    </row>
    <row r="494" spans="1:2">
      <c r="A494" s="8">
        <v>11</v>
      </c>
      <c r="B494" s="9">
        <v>5.6775356568164369E-2</v>
      </c>
    </row>
    <row r="495" spans="1:2">
      <c r="A495" s="8">
        <v>12</v>
      </c>
      <c r="B495" s="9">
        <v>5.6759315528062182E-2</v>
      </c>
    </row>
    <row r="496" spans="1:2">
      <c r="A496" s="8">
        <v>1793</v>
      </c>
      <c r="B496" s="9">
        <v>5.9101421980212843E-2</v>
      </c>
    </row>
    <row r="497" spans="1:2">
      <c r="A497" s="8">
        <v>2</v>
      </c>
      <c r="B497" s="9">
        <v>5.9528943501476583E-2</v>
      </c>
    </row>
    <row r="498" spans="1:2">
      <c r="A498" s="8">
        <v>3</v>
      </c>
      <c r="B498" s="9">
        <v>5.8346824415734355E-2</v>
      </c>
    </row>
    <row r="499" spans="1:2">
      <c r="A499" s="8">
        <v>4</v>
      </c>
      <c r="B499" s="9">
        <v>5.6958737571603461E-2</v>
      </c>
    </row>
    <row r="500" spans="1:2">
      <c r="A500" s="8">
        <v>5</v>
      </c>
      <c r="B500" s="9">
        <v>5.5921169542795975E-2</v>
      </c>
    </row>
    <row r="501" spans="1:2">
      <c r="A501" s="8">
        <v>6</v>
      </c>
      <c r="B501" s="9">
        <v>5.6617219284277827E-2</v>
      </c>
    </row>
    <row r="502" spans="1:2">
      <c r="A502" s="8">
        <v>7</v>
      </c>
    </row>
    <row r="503" spans="1:2">
      <c r="A503" s="8">
        <v>8</v>
      </c>
    </row>
    <row r="504" spans="1:2">
      <c r="A504" s="8">
        <v>9</v>
      </c>
    </row>
    <row r="505" spans="1:2">
      <c r="A505" s="8">
        <v>10</v>
      </c>
    </row>
    <row r="506" spans="1:2">
      <c r="A506" s="8">
        <v>11</v>
      </c>
    </row>
    <row r="507" spans="1:2">
      <c r="A507" s="8">
        <v>12</v>
      </c>
    </row>
    <row r="508" spans="1:2">
      <c r="A508" s="8">
        <v>1794</v>
      </c>
    </row>
    <row r="509" spans="1:2">
      <c r="A509" s="8">
        <v>2</v>
      </c>
    </row>
    <row r="510" spans="1:2">
      <c r="A510" s="8">
        <v>3</v>
      </c>
    </row>
    <row r="511" spans="1:2">
      <c r="A511" s="8">
        <v>4</v>
      </c>
    </row>
    <row r="512" spans="1:2">
      <c r="A512" s="8">
        <v>5</v>
      </c>
    </row>
    <row r="513" spans="1:1">
      <c r="A513" s="8">
        <v>6</v>
      </c>
    </row>
    <row r="514" spans="1:1">
      <c r="A514" s="8">
        <v>7</v>
      </c>
    </row>
    <row r="515" spans="1:1">
      <c r="A515" s="8">
        <v>8</v>
      </c>
    </row>
    <row r="516" spans="1:1">
      <c r="A516" s="8">
        <v>9</v>
      </c>
    </row>
    <row r="517" spans="1:1">
      <c r="A517" s="8">
        <v>10</v>
      </c>
    </row>
    <row r="518" spans="1:1">
      <c r="A518" s="8">
        <v>11</v>
      </c>
    </row>
    <row r="519" spans="1:1">
      <c r="A519" s="8">
        <v>12</v>
      </c>
    </row>
    <row r="520" spans="1:1">
      <c r="A520" s="8">
        <v>1795</v>
      </c>
    </row>
    <row r="521" spans="1:1">
      <c r="A521" s="8">
        <v>2</v>
      </c>
    </row>
    <row r="522" spans="1:1">
      <c r="A522" s="8">
        <v>3</v>
      </c>
    </row>
    <row r="523" spans="1:1">
      <c r="A523" s="8">
        <v>4</v>
      </c>
    </row>
    <row r="524" spans="1:1">
      <c r="A524" s="8">
        <v>5</v>
      </c>
    </row>
    <row r="525" spans="1:1">
      <c r="A525" s="8">
        <v>6</v>
      </c>
    </row>
    <row r="526" spans="1:1">
      <c r="A526" s="8">
        <v>7</v>
      </c>
    </row>
    <row r="527" spans="1:1">
      <c r="A527" s="8">
        <v>8</v>
      </c>
    </row>
    <row r="528" spans="1:1">
      <c r="A528" s="8">
        <v>9</v>
      </c>
    </row>
    <row r="529" spans="1:1">
      <c r="A529" s="8">
        <v>10</v>
      </c>
    </row>
    <row r="530" spans="1:1">
      <c r="A530" s="8">
        <v>11</v>
      </c>
    </row>
    <row r="531" spans="1:1">
      <c r="A531" s="8">
        <v>12</v>
      </c>
    </row>
    <row r="532" spans="1:1">
      <c r="A532" s="8">
        <v>1796</v>
      </c>
    </row>
    <row r="533" spans="1:1">
      <c r="A533" s="8">
        <v>2</v>
      </c>
    </row>
    <row r="534" spans="1:1">
      <c r="A534" s="8">
        <v>3</v>
      </c>
    </row>
    <row r="535" spans="1:1">
      <c r="A535" s="8">
        <v>4</v>
      </c>
    </row>
    <row r="536" spans="1:1">
      <c r="A536" s="8">
        <v>5</v>
      </c>
    </row>
    <row r="537" spans="1:1">
      <c r="A537" s="8">
        <v>6</v>
      </c>
    </row>
    <row r="538" spans="1:1">
      <c r="A538" s="8">
        <v>7</v>
      </c>
    </row>
    <row r="539" spans="1:1">
      <c r="A539" s="8">
        <v>8</v>
      </c>
    </row>
    <row r="540" spans="1:1">
      <c r="A540" s="8">
        <v>9</v>
      </c>
    </row>
    <row r="541" spans="1:1">
      <c r="A541" s="8">
        <v>10</v>
      </c>
    </row>
    <row r="542" spans="1:1">
      <c r="A542" s="8">
        <v>11</v>
      </c>
    </row>
    <row r="543" spans="1:1">
      <c r="A543" s="8">
        <v>12</v>
      </c>
    </row>
    <row r="544" spans="1:1">
      <c r="A544" s="8">
        <v>1797</v>
      </c>
    </row>
    <row r="545" spans="1:1">
      <c r="A545" s="8">
        <v>2</v>
      </c>
    </row>
    <row r="546" spans="1:1">
      <c r="A546" s="8">
        <v>3</v>
      </c>
    </row>
    <row r="547" spans="1:1">
      <c r="A547" s="8">
        <v>4</v>
      </c>
    </row>
    <row r="548" spans="1:1">
      <c r="A548" s="8">
        <v>5</v>
      </c>
    </row>
    <row r="549" spans="1:1">
      <c r="A549" s="8">
        <v>6</v>
      </c>
    </row>
    <row r="550" spans="1:1">
      <c r="A550" s="8">
        <v>7</v>
      </c>
    </row>
    <row r="551" spans="1:1">
      <c r="A551" s="8">
        <v>8</v>
      </c>
    </row>
    <row r="552" spans="1:1">
      <c r="A552" s="8">
        <v>9</v>
      </c>
    </row>
    <row r="553" spans="1:1">
      <c r="A553" s="8">
        <v>10</v>
      </c>
    </row>
    <row r="554" spans="1:1">
      <c r="A554" s="8">
        <v>11</v>
      </c>
    </row>
    <row r="555" spans="1:1">
      <c r="A555" s="8">
        <v>12</v>
      </c>
    </row>
    <row r="556" spans="1:1">
      <c r="A556" s="8">
        <v>1798</v>
      </c>
    </row>
    <row r="557" spans="1:1">
      <c r="A557" s="8">
        <v>2</v>
      </c>
    </row>
    <row r="558" spans="1:1">
      <c r="A558" s="8">
        <v>3</v>
      </c>
    </row>
    <row r="559" spans="1:1">
      <c r="A559" s="8">
        <v>4</v>
      </c>
    </row>
    <row r="560" spans="1:1">
      <c r="A560" s="8">
        <v>5</v>
      </c>
    </row>
    <row r="561" spans="1:1">
      <c r="A561" s="8">
        <v>6</v>
      </c>
    </row>
    <row r="562" spans="1:1">
      <c r="A562" s="8">
        <v>7</v>
      </c>
    </row>
    <row r="563" spans="1:1">
      <c r="A563" s="8">
        <v>8</v>
      </c>
    </row>
    <row r="564" spans="1:1">
      <c r="A564" s="8">
        <v>9</v>
      </c>
    </row>
    <row r="565" spans="1:1">
      <c r="A565" s="8">
        <v>10</v>
      </c>
    </row>
    <row r="566" spans="1:1">
      <c r="A566" s="8">
        <v>11</v>
      </c>
    </row>
    <row r="567" spans="1:1">
      <c r="A567" s="8">
        <v>12</v>
      </c>
    </row>
    <row r="568" spans="1:1">
      <c r="A568" s="8">
        <v>1799</v>
      </c>
    </row>
    <row r="569" spans="1:1">
      <c r="A569" s="8">
        <v>2</v>
      </c>
    </row>
    <row r="570" spans="1:1">
      <c r="A570" s="8">
        <v>3</v>
      </c>
    </row>
    <row r="571" spans="1:1">
      <c r="A571" s="8">
        <v>4</v>
      </c>
    </row>
    <row r="572" spans="1:1">
      <c r="A572" s="8">
        <v>5</v>
      </c>
    </row>
    <row r="573" spans="1:1">
      <c r="A573" s="8">
        <v>6</v>
      </c>
    </row>
    <row r="574" spans="1:1">
      <c r="A574" s="8">
        <v>7</v>
      </c>
    </row>
    <row r="575" spans="1:1">
      <c r="A575" s="8">
        <v>8</v>
      </c>
    </row>
    <row r="576" spans="1:1">
      <c r="A576" s="8">
        <v>9</v>
      </c>
    </row>
    <row r="577" spans="1:4">
      <c r="A577" s="8">
        <v>10</v>
      </c>
    </row>
    <row r="578" spans="1:4">
      <c r="A578" s="8">
        <v>11</v>
      </c>
    </row>
    <row r="579" spans="1:4">
      <c r="A579" s="8">
        <v>12</v>
      </c>
    </row>
    <row r="580" spans="1:4">
      <c r="A580" s="8">
        <v>1800</v>
      </c>
    </row>
    <row r="581" spans="1:4">
      <c r="A581" s="8">
        <v>2</v>
      </c>
    </row>
    <row r="582" spans="1:4">
      <c r="A582" s="8">
        <v>3</v>
      </c>
    </row>
    <row r="583" spans="1:4">
      <c r="A583" s="8">
        <v>4</v>
      </c>
    </row>
    <row r="584" spans="1:4">
      <c r="A584" s="8">
        <v>5</v>
      </c>
    </row>
    <row r="585" spans="1:4">
      <c r="A585" s="8">
        <v>6</v>
      </c>
    </row>
    <row r="586" spans="1:4">
      <c r="A586" s="8">
        <v>7</v>
      </c>
    </row>
    <row r="587" spans="1:4">
      <c r="A587" s="8">
        <v>8</v>
      </c>
    </row>
    <row r="588" spans="1:4">
      <c r="A588" s="8">
        <v>9</v>
      </c>
      <c r="C588" s="8" t="s">
        <v>202</v>
      </c>
    </row>
    <row r="589" spans="1:4">
      <c r="A589" s="8">
        <v>10</v>
      </c>
      <c r="C589" s="8" t="s">
        <v>201</v>
      </c>
      <c r="D589" s="8" t="s">
        <v>200</v>
      </c>
    </row>
    <row r="590" spans="1:4">
      <c r="A590" s="8">
        <v>11</v>
      </c>
    </row>
    <row r="591" spans="1:4">
      <c r="A591" s="8">
        <v>12</v>
      </c>
      <c r="B591" s="9">
        <v>0.13089225589225589</v>
      </c>
      <c r="C591" s="8">
        <v>0.11363636363636363</v>
      </c>
      <c r="D591" s="8">
        <v>0.14814814814814814</v>
      </c>
    </row>
    <row r="592" spans="1:4">
      <c r="A592" s="8">
        <v>1801</v>
      </c>
      <c r="B592" s="9">
        <v>0.10136481370790994</v>
      </c>
      <c r="C592" s="8">
        <v>8.3682008368200833E-2</v>
      </c>
      <c r="D592" s="8">
        <v>0.11904761904761904</v>
      </c>
    </row>
    <row r="593" spans="1:4">
      <c r="A593" s="8">
        <v>2</v>
      </c>
      <c r="B593" s="9">
        <v>8.0054749172396231E-2</v>
      </c>
      <c r="C593" s="8">
        <v>7.3529411764705885E-2</v>
      </c>
      <c r="D593" s="8">
        <v>8.6580086580086577E-2</v>
      </c>
    </row>
    <row r="594" spans="1:4">
      <c r="A594" s="8">
        <v>3</v>
      </c>
      <c r="B594" s="9">
        <v>9.2879256965944276E-2</v>
      </c>
      <c r="C594" s="8">
        <v>8.771929824561403E-2</v>
      </c>
      <c r="D594" s="8">
        <v>9.8039215686274508E-2</v>
      </c>
    </row>
    <row r="595" spans="1:4">
      <c r="A595" s="8">
        <v>4</v>
      </c>
      <c r="B595" s="9">
        <v>9.1136933242196405E-2</v>
      </c>
      <c r="C595" s="8">
        <v>8.6580086580086577E-2</v>
      </c>
      <c r="D595" s="8">
        <v>9.569377990430622E-2</v>
      </c>
    </row>
    <row r="596" spans="1:4">
      <c r="A596" s="8">
        <v>5</v>
      </c>
      <c r="B596" s="9">
        <v>9.7645571350464741E-2</v>
      </c>
      <c r="C596" s="8">
        <v>9.1124476034262811E-2</v>
      </c>
      <c r="D596" s="8">
        <v>0.10416666666666667</v>
      </c>
    </row>
    <row r="597" spans="1:4">
      <c r="A597" s="8">
        <v>6</v>
      </c>
      <c r="B597" s="9">
        <v>0.10231405785978845</v>
      </c>
      <c r="C597" s="8">
        <v>9.5932463545663857E-2</v>
      </c>
      <c r="D597" s="8">
        <v>0.10869565217391304</v>
      </c>
    </row>
    <row r="598" spans="1:4">
      <c r="A598" s="8">
        <v>7</v>
      </c>
      <c r="B598" s="9">
        <v>0.11279029243101099</v>
      </c>
      <c r="C598" s="8">
        <v>0.10582010582010581</v>
      </c>
      <c r="D598" s="8">
        <v>0.11976047904191617</v>
      </c>
    </row>
    <row r="599" spans="1:4">
      <c r="A599" s="8">
        <v>8</v>
      </c>
      <c r="B599" s="9">
        <v>0.11329113924050634</v>
      </c>
      <c r="C599" s="8">
        <v>0.1</v>
      </c>
      <c r="D599" s="8">
        <v>0.12658227848101267</v>
      </c>
    </row>
    <row r="600" spans="1:4">
      <c r="A600" s="8">
        <v>9</v>
      </c>
      <c r="B600" s="9">
        <v>0.10064412238325282</v>
      </c>
      <c r="C600" s="8">
        <v>9.2592592592592587E-2</v>
      </c>
      <c r="D600" s="8">
        <v>0.10869565217391304</v>
      </c>
    </row>
    <row r="601" spans="1:4">
      <c r="A601" s="8">
        <v>10</v>
      </c>
      <c r="B601" s="9">
        <v>8.752942963469279E-2</v>
      </c>
      <c r="C601" s="8">
        <v>7.9365079365079361E-2</v>
      </c>
      <c r="D601" s="8">
        <v>9.569377990430622E-2</v>
      </c>
    </row>
    <row r="602" spans="1:4">
      <c r="A602" s="8">
        <v>11</v>
      </c>
      <c r="B602" s="9">
        <v>8.8680780484751753E-2</v>
      </c>
      <c r="C602" s="8">
        <v>8.2304526748971193E-2</v>
      </c>
      <c r="D602" s="8">
        <v>9.5057034220532313E-2</v>
      </c>
    </row>
    <row r="603" spans="1:4">
      <c r="A603" s="8">
        <v>12</v>
      </c>
      <c r="B603" s="9">
        <v>9.2689939279507375E-2</v>
      </c>
      <c r="C603" s="8">
        <v>8.9686098654708515E-2</v>
      </c>
      <c r="D603" s="8">
        <v>9.569377990430622E-2</v>
      </c>
    </row>
    <row r="604" spans="1:4">
      <c r="A604" s="8">
        <v>1802</v>
      </c>
      <c r="B604" s="9">
        <v>8.9233237494638865E-2</v>
      </c>
      <c r="C604" s="8">
        <v>8.4745762711864403E-2</v>
      </c>
      <c r="D604" s="8">
        <v>9.3720712277413312E-2</v>
      </c>
    </row>
    <row r="605" spans="1:4">
      <c r="A605" s="8">
        <v>2</v>
      </c>
      <c r="B605" s="9">
        <v>8.8045634920634927E-2</v>
      </c>
      <c r="C605" s="8">
        <v>8.6805555555555552E-2</v>
      </c>
      <c r="D605" s="8">
        <v>8.9285714285714288E-2</v>
      </c>
    </row>
    <row r="606" spans="1:4">
      <c r="A606" s="8">
        <v>3</v>
      </c>
      <c r="B606" s="9">
        <v>8.8632438373371022E-2</v>
      </c>
      <c r="C606" s="8">
        <v>8.6355785837651119E-2</v>
      </c>
      <c r="D606" s="8">
        <v>9.0909090909090912E-2</v>
      </c>
    </row>
    <row r="607" spans="1:4">
      <c r="A607" s="8">
        <v>4</v>
      </c>
      <c r="B607" s="9">
        <v>9.0458322165639246E-2</v>
      </c>
      <c r="C607" s="8">
        <v>8.7108013937282236E-2</v>
      </c>
      <c r="D607" s="8">
        <v>9.3808630393996256E-2</v>
      </c>
    </row>
    <row r="608" spans="1:4">
      <c r="A608" s="8">
        <v>5</v>
      </c>
      <c r="B608" s="9">
        <v>8.8291585102801634E-2</v>
      </c>
      <c r="C608" s="8">
        <v>8.6655112651646438E-2</v>
      </c>
      <c r="D608" s="8">
        <v>8.9928057553956831E-2</v>
      </c>
    </row>
    <row r="609" spans="1:4">
      <c r="A609" s="8">
        <v>6</v>
      </c>
      <c r="B609" s="9">
        <v>9.1688633297548311E-2</v>
      </c>
      <c r="C609" s="8">
        <v>8.9126559714795009E-2</v>
      </c>
      <c r="D609" s="8">
        <v>9.4250706880301613E-2</v>
      </c>
    </row>
    <row r="610" spans="1:4">
      <c r="A610" s="8">
        <v>7</v>
      </c>
      <c r="B610" s="9">
        <v>9.3744508873660162E-2</v>
      </c>
      <c r="C610" s="8">
        <v>9.2250922509225092E-2</v>
      </c>
      <c r="D610" s="8">
        <v>9.5238095238095233E-2</v>
      </c>
    </row>
    <row r="611" spans="1:4">
      <c r="A611" s="8">
        <v>8</v>
      </c>
      <c r="B611" s="9">
        <v>9.5512549110658887E-2</v>
      </c>
      <c r="C611" s="8">
        <v>9.1324200913242004E-2</v>
      </c>
      <c r="D611" s="8">
        <v>9.970089730807577E-2</v>
      </c>
    </row>
    <row r="612" spans="1:4">
      <c r="A612" s="8">
        <v>9</v>
      </c>
      <c r="B612" s="9">
        <v>9.5724226332173604E-2</v>
      </c>
      <c r="C612" s="8">
        <v>9.3023255813953487E-2</v>
      </c>
      <c r="D612" s="8">
        <v>9.8425196850393706E-2</v>
      </c>
    </row>
    <row r="613" spans="1:4">
      <c r="A613" s="8">
        <v>10</v>
      </c>
      <c r="B613" s="9">
        <v>9.2286248200226698E-2</v>
      </c>
      <c r="C613" s="8">
        <v>8.9605734767025089E-2</v>
      </c>
      <c r="D613" s="8">
        <v>9.4966761633428307E-2</v>
      </c>
    </row>
    <row r="614" spans="1:4">
      <c r="A614" s="8">
        <v>11</v>
      </c>
      <c r="B614" s="9">
        <v>9.3561416637127873E-2</v>
      </c>
      <c r="C614" s="8">
        <v>9.2336103416435833E-2</v>
      </c>
      <c r="D614" s="8">
        <v>9.4786729857819899E-2</v>
      </c>
    </row>
    <row r="615" spans="1:4">
      <c r="A615" s="8">
        <v>12</v>
      </c>
      <c r="B615" s="9">
        <v>9.1253014051716971E-2</v>
      </c>
      <c r="C615" s="8">
        <v>8.771929824561403E-2</v>
      </c>
      <c r="D615" s="8">
        <v>9.4786729857819899E-2</v>
      </c>
    </row>
    <row r="616" spans="1:4">
      <c r="A616" s="8">
        <v>1803</v>
      </c>
      <c r="B616" s="9">
        <v>8.805546253922189E-2</v>
      </c>
      <c r="C616" s="8">
        <v>8.6505190311418692E-2</v>
      </c>
      <c r="D616" s="8">
        <v>8.9605734767025089E-2</v>
      </c>
    </row>
    <row r="617" spans="1:4">
      <c r="A617" s="8">
        <v>2</v>
      </c>
      <c r="B617" s="9">
        <v>8.1803138678338855E-2</v>
      </c>
      <c r="C617" s="8">
        <v>7.7399380804953566E-2</v>
      </c>
      <c r="D617" s="8">
        <v>8.6206896551724144E-2</v>
      </c>
    </row>
    <row r="618" spans="1:4">
      <c r="A618" s="8">
        <v>3</v>
      </c>
      <c r="B618" s="9">
        <v>8.6318025342415589E-2</v>
      </c>
      <c r="C618" s="8">
        <v>7.5075075075075076E-2</v>
      </c>
      <c r="D618" s="8">
        <v>9.7560975609756101E-2</v>
      </c>
    </row>
    <row r="619" spans="1:4">
      <c r="A619" s="8">
        <v>4</v>
      </c>
      <c r="B619" s="9">
        <v>9.3224932249322504E-2</v>
      </c>
      <c r="C619" s="8">
        <v>8.8888888888888892E-2</v>
      </c>
      <c r="D619" s="8">
        <v>9.7560975609756101E-2</v>
      </c>
    </row>
    <row r="620" spans="1:4">
      <c r="A620" s="8">
        <v>5</v>
      </c>
      <c r="B620" s="9">
        <v>9.8646034816247591E-2</v>
      </c>
      <c r="C620" s="8">
        <v>9.0909090909090912E-2</v>
      </c>
      <c r="D620" s="8">
        <v>0.10638297872340426</v>
      </c>
    </row>
    <row r="621" spans="1:4">
      <c r="A621" s="8">
        <v>6</v>
      </c>
      <c r="B621" s="9">
        <v>0.10200845391162387</v>
      </c>
      <c r="C621" s="8">
        <v>9.9304865938430978E-2</v>
      </c>
      <c r="D621" s="8">
        <v>0.10471204188481675</v>
      </c>
    </row>
    <row r="622" spans="1:4">
      <c r="A622" s="8">
        <v>7</v>
      </c>
      <c r="B622" s="9">
        <v>9.6082349446384843E-2</v>
      </c>
      <c r="C622" s="8">
        <v>9.3545369504209538E-2</v>
      </c>
      <c r="D622" s="8">
        <v>9.8619329388560148E-2</v>
      </c>
    </row>
    <row r="623" spans="1:4">
      <c r="A623" s="8">
        <v>8</v>
      </c>
      <c r="B623" s="9">
        <v>9.1659528728103332E-2</v>
      </c>
      <c r="C623" s="8">
        <v>8.9686098654708515E-2</v>
      </c>
      <c r="D623" s="8">
        <v>9.3632958801498134E-2</v>
      </c>
    </row>
    <row r="624" spans="1:4">
      <c r="A624" s="8">
        <v>9</v>
      </c>
      <c r="B624" s="9">
        <v>9.4317828424185887E-2</v>
      </c>
      <c r="C624" s="8">
        <v>9.1074681238615673E-2</v>
      </c>
      <c r="D624" s="8">
        <v>9.7560975609756101E-2</v>
      </c>
    </row>
    <row r="625" spans="1:4">
      <c r="A625" s="8">
        <v>10</v>
      </c>
      <c r="B625" s="9">
        <v>9.6677002555001695E-2</v>
      </c>
      <c r="C625" s="8">
        <v>9.5602294455066933E-2</v>
      </c>
      <c r="D625" s="8">
        <v>9.7751710654936458E-2</v>
      </c>
    </row>
    <row r="626" spans="1:4">
      <c r="A626" s="8">
        <v>11</v>
      </c>
      <c r="B626" s="9">
        <v>9.6638655462184878E-2</v>
      </c>
      <c r="C626" s="8">
        <v>9.5238095238095233E-2</v>
      </c>
      <c r="D626" s="8">
        <v>9.8039215686274508E-2</v>
      </c>
    </row>
    <row r="627" spans="1:4">
      <c r="A627" s="8">
        <v>12</v>
      </c>
      <c r="B627" s="9">
        <v>9.5055317227365099E-2</v>
      </c>
      <c r="C627" s="8">
        <v>9.3023255813953487E-2</v>
      </c>
      <c r="D627" s="8">
        <v>9.7087378640776698E-2</v>
      </c>
    </row>
    <row r="628" spans="1:4">
      <c r="A628" s="8">
        <v>1804</v>
      </c>
      <c r="B628" s="9">
        <v>9.1234347048300538E-2</v>
      </c>
      <c r="C628" s="8">
        <v>8.9445438282647588E-2</v>
      </c>
      <c r="D628" s="8">
        <v>9.3023255813953487E-2</v>
      </c>
    </row>
    <row r="629" spans="1:4">
      <c r="A629" s="8">
        <v>2</v>
      </c>
      <c r="B629" s="9">
        <v>8.8016175778443853E-2</v>
      </c>
      <c r="C629" s="8">
        <v>8.5616438356164379E-2</v>
      </c>
      <c r="D629" s="8">
        <v>9.0415913200723327E-2</v>
      </c>
    </row>
    <row r="630" spans="1:4">
      <c r="A630" s="8">
        <v>3</v>
      </c>
      <c r="B630" s="9">
        <v>9.0996168582375483E-2</v>
      </c>
      <c r="C630" s="8">
        <v>8.6206896551724144E-2</v>
      </c>
      <c r="D630" s="8">
        <v>9.5785440613026809E-2</v>
      </c>
    </row>
    <row r="631" spans="1:4">
      <c r="A631" s="8">
        <v>4</v>
      </c>
      <c r="B631" s="9">
        <v>9.138195905553885E-2</v>
      </c>
      <c r="C631" s="8">
        <v>9.0171325518485113E-2</v>
      </c>
      <c r="D631" s="8">
        <v>9.2592592592592587E-2</v>
      </c>
    </row>
    <row r="632" spans="1:4">
      <c r="A632" s="8">
        <v>5</v>
      </c>
      <c r="B632" s="9">
        <v>8.7306661795152854E-2</v>
      </c>
      <c r="C632" s="8">
        <v>8.4033613445378158E-2</v>
      </c>
      <c r="D632" s="8">
        <v>9.0579710144927536E-2</v>
      </c>
    </row>
    <row r="633" spans="1:4">
      <c r="A633" s="8">
        <v>6</v>
      </c>
      <c r="B633" s="9">
        <v>8.6155718483778093E-2</v>
      </c>
      <c r="C633" s="8">
        <v>8.4745762711864403E-2</v>
      </c>
      <c r="D633" s="8">
        <v>8.7565674255691769E-2</v>
      </c>
    </row>
    <row r="634" spans="1:4">
      <c r="A634" s="8">
        <v>7</v>
      </c>
      <c r="B634" s="9">
        <v>8.5700653306907432E-2</v>
      </c>
      <c r="C634" s="8">
        <v>8.3682008368200833E-2</v>
      </c>
      <c r="D634" s="8">
        <v>8.771929824561403E-2</v>
      </c>
    </row>
    <row r="635" spans="1:4">
      <c r="A635" s="8">
        <v>8</v>
      </c>
      <c r="B635" s="9">
        <v>8.8583510840206173E-2</v>
      </c>
      <c r="C635" s="8">
        <v>8.6505190311418692E-2</v>
      </c>
      <c r="D635" s="8">
        <v>9.0661831368993653E-2</v>
      </c>
    </row>
    <row r="636" spans="1:4">
      <c r="A636" s="8">
        <v>9</v>
      </c>
      <c r="B636" s="9">
        <v>8.9942598431562784E-2</v>
      </c>
      <c r="C636" s="8">
        <v>8.771929824561403E-2</v>
      </c>
      <c r="D636" s="8">
        <v>9.2165898617511524E-2</v>
      </c>
    </row>
    <row r="637" spans="1:4">
      <c r="A637" s="8">
        <v>10</v>
      </c>
      <c r="B637" s="9">
        <v>8.7274774774774772E-2</v>
      </c>
      <c r="C637" s="8">
        <v>8.4459459459459457E-2</v>
      </c>
      <c r="D637" s="8">
        <v>9.0090090090090086E-2</v>
      </c>
    </row>
    <row r="638" spans="1:4">
      <c r="A638" s="8">
        <v>11</v>
      </c>
      <c r="B638" s="9">
        <v>8.5155592935239707E-2</v>
      </c>
      <c r="C638" s="8">
        <v>8.4104289318755257E-2</v>
      </c>
      <c r="D638" s="8">
        <v>8.6206896551724144E-2</v>
      </c>
    </row>
    <row r="639" spans="1:4">
      <c r="A639" s="8">
        <v>12</v>
      </c>
      <c r="B639" s="9">
        <v>8.6259485195655405E-2</v>
      </c>
      <c r="C639" s="8">
        <v>8.5106382978723402E-2</v>
      </c>
      <c r="D639" s="8">
        <v>8.7412587412587409E-2</v>
      </c>
    </row>
    <row r="640" spans="1:4">
      <c r="A640" s="8">
        <v>1805</v>
      </c>
      <c r="B640" s="9">
        <v>8.6183208941368689E-2</v>
      </c>
      <c r="C640" s="8">
        <v>8.5106382978723402E-2</v>
      </c>
      <c r="D640" s="8">
        <v>8.7260034904013961E-2</v>
      </c>
    </row>
    <row r="641" spans="1:4">
      <c r="A641" s="8">
        <v>2</v>
      </c>
      <c r="B641" s="9">
        <v>8.3042289225512697E-2</v>
      </c>
      <c r="C641" s="8">
        <v>8.0321285140562249E-2</v>
      </c>
      <c r="D641" s="8">
        <v>8.5763293310463132E-2</v>
      </c>
    </row>
    <row r="642" spans="1:4">
      <c r="A642" s="8">
        <v>3</v>
      </c>
      <c r="B642" s="9">
        <v>8.3820060653712239E-2</v>
      </c>
      <c r="C642" s="8">
        <v>8.1433224755700334E-2</v>
      </c>
      <c r="D642" s="8">
        <v>8.6206896551724144E-2</v>
      </c>
    </row>
    <row r="643" spans="1:4">
      <c r="A643" s="8">
        <v>4</v>
      </c>
      <c r="B643" s="9">
        <v>8.6938845832980699E-2</v>
      </c>
      <c r="C643" s="8">
        <v>8.5616438356164379E-2</v>
      </c>
      <c r="D643" s="8">
        <v>8.8261253309797005E-2</v>
      </c>
    </row>
    <row r="644" spans="1:4">
      <c r="A644" s="8">
        <v>5</v>
      </c>
      <c r="B644" s="9">
        <v>8.4006229580349742E-2</v>
      </c>
      <c r="C644" s="8">
        <v>8.2101806239737271E-2</v>
      </c>
      <c r="D644" s="8">
        <v>8.5910652920962199E-2</v>
      </c>
    </row>
    <row r="645" spans="1:4">
      <c r="A645" s="8">
        <v>6</v>
      </c>
      <c r="B645" s="9">
        <v>8.1788021231448071E-2</v>
      </c>
      <c r="C645" s="8">
        <v>8.0450522928399035E-2</v>
      </c>
      <c r="D645" s="8">
        <v>8.3125519534497094E-2</v>
      </c>
    </row>
    <row r="646" spans="1:4">
      <c r="A646" s="8">
        <v>7</v>
      </c>
      <c r="B646" s="9">
        <v>8.1050903119868636E-2</v>
      </c>
      <c r="C646" s="8">
        <v>0.08</v>
      </c>
      <c r="D646" s="8">
        <v>8.2101806239737271E-2</v>
      </c>
    </row>
    <row r="647" spans="1:4">
      <c r="A647" s="8">
        <v>8</v>
      </c>
      <c r="B647" s="9">
        <v>8.3426028921023368E-2</v>
      </c>
      <c r="C647" s="8">
        <v>8.0645161290322578E-2</v>
      </c>
      <c r="D647" s="8">
        <v>8.6206896551724144E-2</v>
      </c>
    </row>
    <row r="648" spans="1:4">
      <c r="A648" s="8">
        <v>9</v>
      </c>
      <c r="B648" s="9">
        <v>9.0614378571825804E-2</v>
      </c>
      <c r="C648" s="8">
        <v>8.4889643463497449E-2</v>
      </c>
      <c r="D648" s="8">
        <v>9.6339113680154145E-2</v>
      </c>
    </row>
    <row r="649" spans="1:4">
      <c r="A649" s="8">
        <v>10</v>
      </c>
      <c r="B649" s="9">
        <v>8.5450353127032808E-2</v>
      </c>
      <c r="C649" s="8">
        <v>7.8988941548183256E-2</v>
      </c>
      <c r="D649" s="8">
        <v>9.1911764705882359E-2</v>
      </c>
    </row>
    <row r="650" spans="1:4">
      <c r="A650" s="8">
        <v>11</v>
      </c>
      <c r="B650" s="9">
        <v>8.3139295608532698E-2</v>
      </c>
      <c r="C650" s="8">
        <v>8.0515297906602251E-2</v>
      </c>
      <c r="D650" s="8">
        <v>8.5763293310463132E-2</v>
      </c>
    </row>
    <row r="651" spans="1:4">
      <c r="A651" s="8">
        <v>12</v>
      </c>
      <c r="B651" s="9">
        <v>8.3453447807649725E-2</v>
      </c>
      <c r="C651" s="8">
        <v>8.2304526748971193E-2</v>
      </c>
      <c r="D651" s="8">
        <v>8.4602368866328256E-2</v>
      </c>
    </row>
    <row r="652" spans="1:4">
      <c r="A652" s="8">
        <v>1806</v>
      </c>
      <c r="B652" s="9">
        <v>8.1326830713242926E-2</v>
      </c>
      <c r="C652" s="8">
        <v>7.9872204472843447E-2</v>
      </c>
      <c r="D652" s="8">
        <v>8.2781456953642391E-2</v>
      </c>
    </row>
    <row r="653" spans="1:4">
      <c r="A653" s="8">
        <v>2</v>
      </c>
      <c r="B653" s="9">
        <v>8.0298474361222574E-2</v>
      </c>
      <c r="C653" s="8">
        <v>7.9428117553613981E-2</v>
      </c>
      <c r="D653" s="8">
        <v>8.1168831168831168E-2</v>
      </c>
    </row>
    <row r="654" spans="1:4">
      <c r="A654" s="8">
        <v>3</v>
      </c>
      <c r="B654" s="9">
        <v>8.0168559535433476E-2</v>
      </c>
      <c r="C654" s="8">
        <v>7.8369905956112859E-2</v>
      </c>
      <c r="D654" s="8">
        <v>8.1967213114754092E-2</v>
      </c>
    </row>
    <row r="655" spans="1:4">
      <c r="A655" s="8">
        <v>4</v>
      </c>
      <c r="B655" s="9">
        <v>8.0326467409713373E-2</v>
      </c>
      <c r="C655" s="8">
        <v>7.9681274900398405E-2</v>
      </c>
      <c r="D655" s="8">
        <v>8.0971659919028341E-2</v>
      </c>
    </row>
    <row r="656" spans="1:4">
      <c r="A656" s="8">
        <v>5</v>
      </c>
      <c r="B656" s="9">
        <v>8.0359276023943133E-2</v>
      </c>
      <c r="C656" s="8">
        <v>7.9681274900398405E-2</v>
      </c>
      <c r="D656" s="8">
        <v>8.1037277147487846E-2</v>
      </c>
    </row>
    <row r="657" spans="1:4">
      <c r="A657" s="8">
        <v>6</v>
      </c>
      <c r="B657" s="9">
        <v>7.8636756890372014E-2</v>
      </c>
      <c r="C657" s="8">
        <v>7.662835249042145E-2</v>
      </c>
      <c r="D657" s="8">
        <v>8.0645161290322578E-2</v>
      </c>
    </row>
    <row r="658" spans="1:4">
      <c r="A658" s="8">
        <v>7</v>
      </c>
      <c r="B658" s="9">
        <v>7.5264032680271375E-2</v>
      </c>
      <c r="C658" s="8">
        <v>7.3367571533382234E-2</v>
      </c>
      <c r="D658" s="8">
        <v>7.7160493827160503E-2</v>
      </c>
    </row>
    <row r="659" spans="1:4">
      <c r="A659" s="8">
        <v>8</v>
      </c>
      <c r="B659" s="9">
        <v>7.4451519232154637E-2</v>
      </c>
      <c r="C659" s="8">
        <v>7.3260073260073263E-2</v>
      </c>
      <c r="D659" s="8">
        <v>7.564296520423601E-2</v>
      </c>
    </row>
    <row r="660" spans="1:4">
      <c r="A660" s="8">
        <v>9</v>
      </c>
      <c r="B660" s="9">
        <v>7.7322108457303168E-2</v>
      </c>
      <c r="C660" s="8">
        <v>7.3475385745775168E-2</v>
      </c>
      <c r="D660" s="8">
        <v>8.1168831168831168E-2</v>
      </c>
    </row>
    <row r="661" spans="1:4">
      <c r="A661" s="8">
        <v>10</v>
      </c>
      <c r="B661" s="9">
        <v>7.5517525529134863E-2</v>
      </c>
      <c r="C661" s="8">
        <v>7.2046109510086456E-2</v>
      </c>
      <c r="D661" s="8">
        <v>7.8988941548183256E-2</v>
      </c>
    </row>
    <row r="662" spans="1:4">
      <c r="A662" s="8">
        <v>11</v>
      </c>
      <c r="B662" s="9">
        <v>6.9182750402391913E-2</v>
      </c>
      <c r="C662" s="8">
        <v>6.6006600660066E-2</v>
      </c>
      <c r="D662" s="8">
        <v>7.2358900144717811E-2</v>
      </c>
    </row>
    <row r="663" spans="1:4">
      <c r="A663" s="8">
        <v>12</v>
      </c>
      <c r="B663" s="9">
        <v>6.7733437390652795E-2</v>
      </c>
      <c r="C663" s="8">
        <v>6.4935064935064929E-2</v>
      </c>
      <c r="D663" s="8">
        <v>7.0531809846240648E-2</v>
      </c>
    </row>
    <row r="664" spans="1:4">
      <c r="A664" s="8">
        <v>1807</v>
      </c>
      <c r="B664" s="9">
        <v>6.5803258646634777E-2</v>
      </c>
      <c r="C664" s="8">
        <v>6.4850843060959798E-2</v>
      </c>
      <c r="D664" s="8">
        <v>6.6755674232309742E-2</v>
      </c>
    </row>
    <row r="665" spans="1:4">
      <c r="A665" s="8">
        <v>2</v>
      </c>
      <c r="B665" s="9">
        <v>6.6322446717742581E-2</v>
      </c>
      <c r="C665" s="8">
        <v>6.5530799475753604E-2</v>
      </c>
      <c r="D665" s="8">
        <v>6.7114093959731544E-2</v>
      </c>
    </row>
    <row r="666" spans="1:4">
      <c r="A666" s="8">
        <v>3</v>
      </c>
      <c r="B666" s="9">
        <v>6.7683289829188989E-2</v>
      </c>
      <c r="C666" s="8">
        <v>6.6401062416998669E-2</v>
      </c>
      <c r="D666" s="8">
        <v>6.8965517241379309E-2</v>
      </c>
    </row>
    <row r="667" spans="1:4">
      <c r="A667" s="8">
        <v>4</v>
      </c>
      <c r="B667" s="9">
        <v>6.9030504908835916E-2</v>
      </c>
      <c r="C667" s="8">
        <v>6.7934782608695662E-2</v>
      </c>
      <c r="D667" s="8">
        <v>7.0126227208976155E-2</v>
      </c>
    </row>
    <row r="668" spans="1:4">
      <c r="A668" s="8">
        <v>5</v>
      </c>
      <c r="B668" s="9">
        <v>6.7491256193529581E-2</v>
      </c>
      <c r="C668" s="8">
        <v>6.6489361702127658E-2</v>
      </c>
      <c r="D668" s="8">
        <v>6.8493150684931503E-2</v>
      </c>
    </row>
    <row r="669" spans="1:4">
      <c r="A669" s="8">
        <v>6</v>
      </c>
      <c r="B669" s="9">
        <v>6.5400475826410592E-2</v>
      </c>
      <c r="C669" s="8">
        <v>6.4267352185089971E-2</v>
      </c>
      <c r="D669" s="8">
        <v>6.65335994677312E-2</v>
      </c>
    </row>
    <row r="670" spans="1:4">
      <c r="A670" s="8">
        <v>7</v>
      </c>
      <c r="B670" s="9">
        <v>6.3087918941968663E-2</v>
      </c>
      <c r="C670" s="8">
        <v>6.1576354679802957E-2</v>
      </c>
      <c r="D670" s="8">
        <v>6.4599483204134361E-2</v>
      </c>
    </row>
    <row r="671" spans="1:4">
      <c r="A671" s="8">
        <v>8</v>
      </c>
      <c r="B671" s="9">
        <v>5.7841797277892154E-2</v>
      </c>
      <c r="C671" s="8">
        <v>5.3533190578158453E-2</v>
      </c>
      <c r="D671" s="8">
        <v>6.2150403977625855E-2</v>
      </c>
    </row>
    <row r="672" spans="1:4">
      <c r="A672" s="8">
        <v>9</v>
      </c>
      <c r="B672" s="9">
        <v>5.7514831905075808E-2</v>
      </c>
      <c r="C672" s="8">
        <v>5.4054054054054057E-2</v>
      </c>
      <c r="D672" s="8">
        <v>6.097560975609756E-2</v>
      </c>
    </row>
    <row r="673" spans="1:4">
      <c r="A673" s="8">
        <v>10</v>
      </c>
      <c r="B673" s="9">
        <v>5.8757366234698245E-2</v>
      </c>
      <c r="C673" s="8">
        <v>5.7273768613974804E-2</v>
      </c>
      <c r="D673" s="8">
        <v>6.0240963855421686E-2</v>
      </c>
    </row>
    <row r="674" spans="1:4">
      <c r="A674" s="8">
        <v>11</v>
      </c>
      <c r="B674" s="9">
        <v>5.7954936175699488E-2</v>
      </c>
      <c r="C674" s="8">
        <v>5.6947608200455579E-2</v>
      </c>
      <c r="D674" s="8">
        <v>5.8962264150943397E-2</v>
      </c>
    </row>
    <row r="675" spans="1:4">
      <c r="A675" s="8">
        <v>12</v>
      </c>
      <c r="B675" s="9">
        <v>5.7909490852513547E-2</v>
      </c>
      <c r="C675" s="8">
        <v>5.73394495412844E-2</v>
      </c>
      <c r="D675" s="8">
        <v>5.8479532163742687E-2</v>
      </c>
    </row>
    <row r="676" spans="1:4">
      <c r="A676" s="8">
        <v>1808</v>
      </c>
      <c r="B676" s="9">
        <v>5.8145902945022379E-2</v>
      </c>
      <c r="C676" s="8">
        <v>5.7537399309551207E-2</v>
      </c>
      <c r="D676" s="8">
        <v>5.8754406580493544E-2</v>
      </c>
    </row>
    <row r="677" spans="1:4">
      <c r="A677" s="8">
        <v>2</v>
      </c>
      <c r="B677" s="9">
        <v>5.8262834116054547E-2</v>
      </c>
      <c r="C677" s="8">
        <v>5.7736720554272522E-2</v>
      </c>
      <c r="D677" s="8">
        <v>5.8788947677836566E-2</v>
      </c>
    </row>
    <row r="678" spans="1:4">
      <c r="A678" s="8">
        <v>3</v>
      </c>
      <c r="B678" s="9">
        <v>5.932608940434636E-2</v>
      </c>
      <c r="C678" s="8">
        <v>5.8411214953271035E-2</v>
      </c>
      <c r="D678" s="8">
        <v>6.0240963855421686E-2</v>
      </c>
    </row>
    <row r="679" spans="1:4">
      <c r="A679" s="8">
        <v>4</v>
      </c>
      <c r="B679" s="9">
        <v>5.8260109503218048E-2</v>
      </c>
      <c r="C679" s="8">
        <v>5.7208237986270019E-2</v>
      </c>
      <c r="D679" s="8">
        <v>5.9311981020166077E-2</v>
      </c>
    </row>
    <row r="680" spans="1:4">
      <c r="A680" s="8">
        <v>5</v>
      </c>
      <c r="B680" s="9">
        <v>5.7295933908951491E-2</v>
      </c>
      <c r="C680" s="8">
        <v>5.6721497447532611E-2</v>
      </c>
      <c r="D680" s="8">
        <v>5.7870370370370364E-2</v>
      </c>
    </row>
    <row r="681" spans="1:4">
      <c r="A681" s="8">
        <v>6</v>
      </c>
      <c r="B681" s="9">
        <v>5.8387642134540396E-2</v>
      </c>
      <c r="C681" s="8">
        <v>5.7603686635944701E-2</v>
      </c>
      <c r="D681" s="8">
        <v>5.9171597633136092E-2</v>
      </c>
    </row>
    <row r="682" spans="1:4">
      <c r="A682" s="8">
        <v>7</v>
      </c>
      <c r="B682" s="9">
        <v>5.8900986678247981E-2</v>
      </c>
      <c r="C682" s="8">
        <v>5.8207217694994179E-2</v>
      </c>
      <c r="D682" s="8">
        <v>5.9594755661501783E-2</v>
      </c>
    </row>
    <row r="683" spans="1:4">
      <c r="A683" s="8">
        <v>8</v>
      </c>
      <c r="B683" s="9">
        <v>6.0707915406520298E-2</v>
      </c>
      <c r="C683" s="8">
        <v>5.8719906048150319E-2</v>
      </c>
      <c r="D683" s="8">
        <v>6.2695924764890276E-2</v>
      </c>
    </row>
    <row r="684" spans="1:4">
      <c r="A684" s="8">
        <v>9</v>
      </c>
      <c r="B684" s="9">
        <v>6.2473912314167906E-2</v>
      </c>
      <c r="C684" s="8">
        <v>6.1050061050061048E-2</v>
      </c>
      <c r="D684" s="8">
        <v>6.3897763578274758E-2</v>
      </c>
    </row>
    <row r="685" spans="1:4">
      <c r="A685" s="8">
        <v>10</v>
      </c>
      <c r="B685" s="9">
        <v>6.2114197530864196E-2</v>
      </c>
      <c r="C685" s="8">
        <v>6.1728395061728392E-2</v>
      </c>
      <c r="D685" s="8">
        <v>6.25E-2</v>
      </c>
    </row>
    <row r="686" spans="1:4">
      <c r="A686" s="8">
        <v>11</v>
      </c>
      <c r="B686" s="9">
        <v>6.2114197530864196E-2</v>
      </c>
      <c r="C686" s="8">
        <v>6.1728395061728392E-2</v>
      </c>
      <c r="D686" s="8">
        <v>6.25E-2</v>
      </c>
    </row>
    <row r="687" spans="1:4">
      <c r="A687" s="8">
        <v>12</v>
      </c>
      <c r="B687" s="9">
        <v>6.2969995599830339E-2</v>
      </c>
      <c r="C687" s="8">
        <v>6.1919504643962849E-2</v>
      </c>
      <c r="D687" s="8">
        <v>6.4020486555697823E-2</v>
      </c>
    </row>
    <row r="688" spans="1:4">
      <c r="A688" s="8">
        <v>1809</v>
      </c>
      <c r="B688" s="9">
        <v>6.2802823977782987E-2</v>
      </c>
      <c r="C688" s="8">
        <v>6.2073246430788334E-2</v>
      </c>
      <c r="D688" s="8">
        <v>6.353240152477764E-2</v>
      </c>
    </row>
    <row r="689" spans="1:4">
      <c r="A689" s="8">
        <v>2</v>
      </c>
      <c r="B689" s="9">
        <v>6.2678991636253636E-2</v>
      </c>
      <c r="C689" s="8">
        <v>6.2266500622665005E-2</v>
      </c>
      <c r="D689" s="8">
        <v>6.3091482649842268E-2</v>
      </c>
    </row>
    <row r="690" spans="1:4">
      <c r="A690" s="8">
        <v>3</v>
      </c>
      <c r="B690" s="9">
        <v>6.362018044261035E-2</v>
      </c>
      <c r="C690" s="8">
        <v>6.2305295950155763E-2</v>
      </c>
      <c r="D690" s="8">
        <v>6.4935064935064929E-2</v>
      </c>
    </row>
    <row r="691" spans="1:4">
      <c r="A691" s="8">
        <v>4</v>
      </c>
      <c r="B691" s="9">
        <v>6.238042618400419E-2</v>
      </c>
      <c r="C691" s="8">
        <v>5.9952038369304551E-2</v>
      </c>
      <c r="D691" s="8">
        <v>6.4808813998703821E-2</v>
      </c>
    </row>
    <row r="692" spans="1:4">
      <c r="A692" s="8">
        <v>5</v>
      </c>
      <c r="B692" s="9">
        <v>6.0512212264979791E-2</v>
      </c>
      <c r="C692" s="8">
        <v>5.9523809523809521E-2</v>
      </c>
      <c r="D692" s="8">
        <v>6.1500615006150061E-2</v>
      </c>
    </row>
    <row r="693" spans="1:4">
      <c r="A693" s="8">
        <v>6</v>
      </c>
      <c r="B693" s="9">
        <v>6.0777912962926027E-2</v>
      </c>
      <c r="C693" s="8">
        <v>6.0168471720818295E-2</v>
      </c>
      <c r="D693" s="8">
        <v>6.1387354205033759E-2</v>
      </c>
    </row>
    <row r="694" spans="1:4">
      <c r="A694" s="8">
        <v>7</v>
      </c>
      <c r="B694" s="9">
        <v>6.2593988786286914E-2</v>
      </c>
      <c r="C694" s="8">
        <v>6.0168471720818295E-2</v>
      </c>
      <c r="D694" s="8">
        <v>6.5019505851755519E-2</v>
      </c>
    </row>
    <row r="695" spans="1:4">
      <c r="A695" s="8">
        <v>8</v>
      </c>
      <c r="B695" s="9">
        <v>6.3379602853287059E-2</v>
      </c>
      <c r="C695" s="8">
        <v>6.2656641604010022E-2</v>
      </c>
      <c r="D695" s="8">
        <v>6.4102564102564097E-2</v>
      </c>
    </row>
    <row r="696" spans="1:4">
      <c r="A696" s="8">
        <v>9</v>
      </c>
      <c r="B696" s="9">
        <v>6.4392447824915558E-2</v>
      </c>
      <c r="C696" s="8">
        <v>6.321112515802782E-2</v>
      </c>
      <c r="D696" s="8">
        <v>6.5573770491803282E-2</v>
      </c>
    </row>
    <row r="697" spans="1:4">
      <c r="A697" s="8">
        <v>10</v>
      </c>
      <c r="B697" s="9">
        <v>6.3547175905365572E-2</v>
      </c>
      <c r="C697" s="8">
        <v>6.257822277847308E-2</v>
      </c>
      <c r="D697" s="8">
        <v>6.4516129032258063E-2</v>
      </c>
    </row>
    <row r="698" spans="1:4">
      <c r="A698" s="8">
        <v>11</v>
      </c>
      <c r="B698" s="9">
        <v>6.254615663841985E-2</v>
      </c>
      <c r="C698" s="8">
        <v>6.1881188118811881E-2</v>
      </c>
      <c r="D698" s="8">
        <v>6.321112515802782E-2</v>
      </c>
    </row>
    <row r="699" spans="1:4">
      <c r="A699" s="8">
        <v>12</v>
      </c>
      <c r="B699" s="9">
        <v>6.2599188855581023E-2</v>
      </c>
      <c r="C699" s="8">
        <v>6.2305295950155763E-2</v>
      </c>
      <c r="D699" s="8">
        <v>6.2893081761006289E-2</v>
      </c>
    </row>
    <row r="700" spans="1:4">
      <c r="A700" s="8">
        <v>1810</v>
      </c>
      <c r="B700" s="9">
        <v>6.3453411667697385E-2</v>
      </c>
      <c r="C700" s="8">
        <v>6.3131313131313135E-2</v>
      </c>
      <c r="D700" s="8">
        <v>6.3775510204081634E-2</v>
      </c>
    </row>
    <row r="701" spans="1:4">
      <c r="A701" s="8">
        <v>2</v>
      </c>
      <c r="B701" s="9">
        <v>6.1711715140397486E-2</v>
      </c>
      <c r="C701" s="8">
        <v>6.0132291040288631E-2</v>
      </c>
      <c r="D701" s="8">
        <v>6.3291139240506333E-2</v>
      </c>
    </row>
    <row r="702" spans="1:4">
      <c r="A702" s="8">
        <v>3</v>
      </c>
      <c r="B702" s="9">
        <v>6.0603168543615193E-2</v>
      </c>
      <c r="C702" s="8">
        <v>5.9171597633136092E-2</v>
      </c>
      <c r="D702" s="8">
        <v>6.2034739454094295E-2</v>
      </c>
    </row>
    <row r="703" spans="1:4">
      <c r="A703" s="8">
        <v>4</v>
      </c>
      <c r="B703" s="9">
        <v>6.1580931146148536E-2</v>
      </c>
      <c r="C703" s="8">
        <v>6.1050061050061048E-2</v>
      </c>
      <c r="D703" s="8">
        <v>6.2111801242236024E-2</v>
      </c>
    </row>
    <row r="704" spans="1:4">
      <c r="A704" s="8">
        <v>5</v>
      </c>
      <c r="B704" s="9">
        <v>6.2054709804220572E-2</v>
      </c>
      <c r="C704" s="8">
        <v>6.1842918985776131E-2</v>
      </c>
      <c r="D704" s="8">
        <v>6.2266500622665005E-2</v>
      </c>
    </row>
    <row r="705" spans="1:4">
      <c r="A705" s="8">
        <v>6</v>
      </c>
      <c r="B705" s="9">
        <v>6.1693155523078802E-2</v>
      </c>
      <c r="C705" s="8">
        <v>6.1274509803921573E-2</v>
      </c>
      <c r="D705" s="8">
        <v>6.2111801242236024E-2</v>
      </c>
    </row>
    <row r="706" spans="1:4">
      <c r="A706" s="8">
        <v>7</v>
      </c>
      <c r="B706" s="9">
        <v>6.1566273279214136E-2</v>
      </c>
      <c r="C706" s="8">
        <v>6.0827250608272501E-2</v>
      </c>
      <c r="D706" s="8">
        <v>6.2305295950155763E-2</v>
      </c>
    </row>
    <row r="707" spans="1:4">
      <c r="A707" s="8">
        <v>8</v>
      </c>
      <c r="B707" s="9">
        <v>6.1095585293467813E-2</v>
      </c>
      <c r="C707" s="8">
        <v>6.0386473429951695E-2</v>
      </c>
      <c r="D707" s="8">
        <v>6.1804697156983925E-2</v>
      </c>
    </row>
    <row r="708" spans="1:4">
      <c r="A708" s="8">
        <v>9</v>
      </c>
      <c r="B708" s="9">
        <v>6.1325357151585685E-2</v>
      </c>
      <c r="C708" s="8">
        <v>6.0422960725075532E-2</v>
      </c>
      <c r="D708" s="8">
        <v>6.2227753578095832E-2</v>
      </c>
    </row>
    <row r="709" spans="1:4">
      <c r="A709" s="8">
        <v>10</v>
      </c>
      <c r="B709" s="9">
        <v>6.2073629111029344E-2</v>
      </c>
      <c r="C709" s="8">
        <v>6.1919504643962849E-2</v>
      </c>
      <c r="D709" s="8">
        <v>6.2227753578095832E-2</v>
      </c>
    </row>
    <row r="710" spans="1:4">
      <c r="A710" s="8">
        <v>11</v>
      </c>
      <c r="B710" s="9">
        <v>6.25420467168359E-2</v>
      </c>
      <c r="C710" s="8">
        <v>6.2111801242236024E-2</v>
      </c>
      <c r="D710" s="8">
        <v>6.2972292191435769E-2</v>
      </c>
    </row>
    <row r="711" spans="1:4">
      <c r="A711" s="8">
        <v>12</v>
      </c>
      <c r="B711" s="9">
        <v>6.2994881839458491E-2</v>
      </c>
      <c r="C711" s="8">
        <v>6.257822277847308E-2</v>
      </c>
      <c r="D711" s="8">
        <v>6.3411540900443888E-2</v>
      </c>
    </row>
    <row r="712" spans="1:4">
      <c r="A712" s="8">
        <v>1811</v>
      </c>
      <c r="B712" s="9">
        <v>6.2069528656748384E-2</v>
      </c>
      <c r="C712" s="8">
        <v>6.1087354917532075E-2</v>
      </c>
      <c r="D712" s="8">
        <v>6.3051702395964693E-2</v>
      </c>
    </row>
    <row r="713" spans="1:4">
      <c r="A713" s="8">
        <v>2</v>
      </c>
      <c r="B713" s="9">
        <v>6.1407504498566343E-2</v>
      </c>
      <c r="C713" s="8">
        <v>6.1124694376528121E-2</v>
      </c>
      <c r="D713" s="8">
        <v>6.1690314620604564E-2</v>
      </c>
    </row>
    <row r="714" spans="1:4">
      <c r="A714" s="8">
        <v>3</v>
      </c>
      <c r="B714" s="9">
        <v>6.2623728414904253E-2</v>
      </c>
      <c r="C714" s="8">
        <v>6.1349693251533742E-2</v>
      </c>
      <c r="D714" s="8">
        <v>6.3897763578274758E-2</v>
      </c>
    </row>
    <row r="715" spans="1:4">
      <c r="A715" s="8">
        <v>4</v>
      </c>
      <c r="B715" s="9">
        <v>6.3757052501504E-2</v>
      </c>
      <c r="C715" s="8">
        <v>6.3411540900443888E-2</v>
      </c>
      <c r="D715" s="8">
        <v>6.4102564102564097E-2</v>
      </c>
    </row>
    <row r="716" spans="1:4">
      <c r="A716" s="8">
        <v>5</v>
      </c>
      <c r="B716" s="9">
        <v>6.3820601795285342E-2</v>
      </c>
      <c r="C716" s="8">
        <v>6.3291139240506333E-2</v>
      </c>
      <c r="D716" s="8">
        <v>6.4350064350064351E-2</v>
      </c>
    </row>
    <row r="717" spans="1:4">
      <c r="A717" s="8">
        <v>6</v>
      </c>
      <c r="B717" s="9">
        <v>6.2839020761554454E-2</v>
      </c>
      <c r="C717" s="8">
        <v>6.2266500622665005E-2</v>
      </c>
      <c r="D717" s="8">
        <v>6.3411540900443888E-2</v>
      </c>
    </row>
    <row r="718" spans="1:4">
      <c r="A718" s="8">
        <v>7</v>
      </c>
      <c r="B718" s="9">
        <v>6.1589805825242719E-2</v>
      </c>
      <c r="C718" s="8">
        <v>6.0679611650485431E-2</v>
      </c>
      <c r="D718" s="8">
        <v>6.25E-2</v>
      </c>
    </row>
    <row r="719" spans="1:4">
      <c r="A719" s="8">
        <v>8</v>
      </c>
      <c r="B719" s="9">
        <v>6.0480699944768158E-2</v>
      </c>
      <c r="C719" s="8">
        <v>6.006006006006006E-2</v>
      </c>
      <c r="D719" s="8">
        <v>6.090133982947625E-2</v>
      </c>
    </row>
    <row r="720" spans="1:4">
      <c r="A720" s="8">
        <v>9</v>
      </c>
      <c r="B720" s="9">
        <v>6.1177549971955618E-2</v>
      </c>
      <c r="C720" s="8">
        <v>6.0204695966285374E-2</v>
      </c>
      <c r="D720" s="8">
        <v>6.2150403977625855E-2</v>
      </c>
    </row>
    <row r="721" spans="1:4">
      <c r="A721" s="8">
        <v>10</v>
      </c>
      <c r="B721" s="9">
        <v>6.1187803318553932E-2</v>
      </c>
      <c r="C721" s="8">
        <v>6.0532687651331726E-2</v>
      </c>
      <c r="D721" s="8">
        <v>6.1842918985776131E-2</v>
      </c>
    </row>
    <row r="722" spans="1:4">
      <c r="A722" s="8">
        <v>11</v>
      </c>
      <c r="B722" s="9">
        <v>6.038964448878853E-2</v>
      </c>
      <c r="C722" s="8">
        <v>5.9952038369304551E-2</v>
      </c>
      <c r="D722" s="8">
        <v>6.0827250608272501E-2</v>
      </c>
    </row>
    <row r="723" spans="1:4">
      <c r="A723" s="8">
        <v>12</v>
      </c>
      <c r="B723" s="9">
        <v>6.0608286805759623E-2</v>
      </c>
      <c r="C723" s="8">
        <v>6.0240963855421686E-2</v>
      </c>
      <c r="D723" s="8">
        <v>6.097560975609756E-2</v>
      </c>
    </row>
    <row r="724" spans="1:4">
      <c r="A724" s="8">
        <v>1812</v>
      </c>
      <c r="B724" s="9">
        <v>6.072023712966923E-2</v>
      </c>
      <c r="C724" s="8">
        <v>6.0240963855421686E-2</v>
      </c>
      <c r="D724" s="8">
        <v>6.1199510403916767E-2</v>
      </c>
    </row>
    <row r="725" spans="1:4">
      <c r="A725" s="8">
        <v>2</v>
      </c>
      <c r="B725" s="9">
        <v>6.0042943953670137E-2</v>
      </c>
      <c r="C725" s="8">
        <v>5.9808612440191394E-2</v>
      </c>
      <c r="D725" s="8">
        <v>6.027727546714888E-2</v>
      </c>
    </row>
    <row r="726" spans="1:4">
      <c r="A726" s="8">
        <v>3</v>
      </c>
      <c r="B726" s="9">
        <v>6.1597601769703456E-2</v>
      </c>
      <c r="C726" s="8">
        <v>6.0024009603841535E-2</v>
      </c>
      <c r="D726" s="8">
        <v>6.3171193935565376E-2</v>
      </c>
    </row>
    <row r="727" spans="1:4">
      <c r="A727" s="8">
        <v>4</v>
      </c>
      <c r="B727" s="9">
        <v>6.2579791191835654E-2</v>
      </c>
      <c r="C727" s="8">
        <v>6.2266500622665005E-2</v>
      </c>
      <c r="D727" s="8">
        <v>6.2893081761006289E-2</v>
      </c>
    </row>
    <row r="728" spans="1:4">
      <c r="A728" s="8">
        <v>5</v>
      </c>
      <c r="B728" s="9">
        <v>6.180868721480811E-2</v>
      </c>
      <c r="C728" s="8">
        <v>6.1312078479460456E-2</v>
      </c>
      <c r="D728" s="8">
        <v>6.2305295950155763E-2</v>
      </c>
    </row>
    <row r="729" spans="1:4">
      <c r="A729" s="8">
        <v>6</v>
      </c>
      <c r="B729" s="9">
        <v>6.1126978219964462E-2</v>
      </c>
      <c r="C729" s="8">
        <v>6.0753341433778862E-2</v>
      </c>
      <c r="D729" s="8">
        <v>6.1500615006150061E-2</v>
      </c>
    </row>
    <row r="730" spans="1:4">
      <c r="A730" s="8">
        <v>7</v>
      </c>
      <c r="B730" s="9">
        <v>6.0792093258397073E-2</v>
      </c>
      <c r="C730" s="8">
        <v>6.0459492140266018E-2</v>
      </c>
      <c r="D730" s="8">
        <v>6.1124694376528121E-2</v>
      </c>
    </row>
    <row r="731" spans="1:4">
      <c r="A731" s="8">
        <v>8</v>
      </c>
      <c r="B731" s="9">
        <v>6.0241510392567796E-2</v>
      </c>
      <c r="C731" s="8">
        <v>6.006006006006006E-2</v>
      </c>
      <c r="D731" s="8">
        <v>6.0422960725075532E-2</v>
      </c>
    </row>
    <row r="732" spans="1:4">
      <c r="A732" s="8">
        <v>9</v>
      </c>
      <c r="B732" s="9">
        <v>6.1292551753147254E-2</v>
      </c>
      <c r="C732" s="8">
        <v>6.0240963855421686E-2</v>
      </c>
      <c r="D732" s="8">
        <v>6.2344139650872814E-2</v>
      </c>
    </row>
    <row r="733" spans="1:4">
      <c r="A733" s="8">
        <v>10</v>
      </c>
      <c r="B733" s="9">
        <v>6.1276810481939115E-2</v>
      </c>
      <c r="C733" s="8">
        <v>6.090133982947625E-2</v>
      </c>
      <c r="D733" s="8">
        <v>6.1652281134401979E-2</v>
      </c>
    </row>
    <row r="734" spans="1:4">
      <c r="A734" s="8">
        <v>11</v>
      </c>
      <c r="B734" s="9">
        <v>6.2480072525275938E-2</v>
      </c>
      <c r="C734" s="8">
        <v>6.1387354205033759E-2</v>
      </c>
      <c r="D734" s="8">
        <v>6.3572790845518118E-2</v>
      </c>
    </row>
    <row r="735" spans="1:4">
      <c r="A735" s="8">
        <v>12</v>
      </c>
      <c r="B735" s="9">
        <v>6.4245395127748073E-2</v>
      </c>
      <c r="C735" s="8">
        <v>6.3131313131313135E-2</v>
      </c>
      <c r="D735" s="8">
        <v>6.535947712418301E-2</v>
      </c>
    </row>
    <row r="736" spans="1:4">
      <c r="A736" s="8">
        <v>1813</v>
      </c>
      <c r="B736" s="9">
        <v>6.3576476824788314E-2</v>
      </c>
      <c r="C736" s="8">
        <v>6.2344139650872814E-2</v>
      </c>
      <c r="D736" s="8">
        <v>6.4808813998703821E-2</v>
      </c>
    </row>
    <row r="737" spans="1:4">
      <c r="A737" s="8">
        <v>2</v>
      </c>
      <c r="B737" s="9">
        <v>6.3457525132360887E-2</v>
      </c>
      <c r="C737" s="8">
        <v>6.2853551225644247E-2</v>
      </c>
      <c r="D737" s="8">
        <v>6.4061499039077513E-2</v>
      </c>
    </row>
    <row r="738" spans="1:4">
      <c r="A738" s="8">
        <v>3</v>
      </c>
      <c r="B738" s="9">
        <v>6.7221510883482716E-2</v>
      </c>
      <c r="C738" s="8">
        <v>6.4020486555697823E-2</v>
      </c>
      <c r="D738" s="8">
        <v>7.0422535211267609E-2</v>
      </c>
    </row>
    <row r="739" spans="1:4">
      <c r="A739" s="8">
        <v>4</v>
      </c>
      <c r="B739" s="9">
        <v>6.8755550516788541E-2</v>
      </c>
      <c r="C739" s="8">
        <v>6.6889632107023408E-2</v>
      </c>
      <c r="D739" s="8">
        <v>7.0621468926553674E-2</v>
      </c>
    </row>
    <row r="740" spans="1:4">
      <c r="A740" s="8">
        <v>5</v>
      </c>
      <c r="B740" s="9">
        <v>6.7178122114496766E-2</v>
      </c>
      <c r="C740" s="8">
        <v>6.5104166666666671E-2</v>
      </c>
      <c r="D740" s="8">
        <v>6.9252077562326861E-2</v>
      </c>
    </row>
    <row r="741" spans="1:4">
      <c r="A741" s="8">
        <v>6</v>
      </c>
      <c r="B741" s="9">
        <v>6.6527477971619661E-2</v>
      </c>
      <c r="C741" s="8">
        <v>6.4935064935064929E-2</v>
      </c>
      <c r="D741" s="8">
        <v>6.811989100817438E-2</v>
      </c>
    </row>
    <row r="742" spans="1:4">
      <c r="A742" s="8">
        <v>7</v>
      </c>
      <c r="B742" s="9">
        <v>6.6047116080695661E-2</v>
      </c>
      <c r="C742" s="8">
        <v>6.4935064935064929E-2</v>
      </c>
      <c r="D742" s="8">
        <v>6.7159167226326394E-2</v>
      </c>
    </row>
    <row r="743" spans="1:4">
      <c r="A743" s="8">
        <v>8</v>
      </c>
      <c r="B743" s="9">
        <v>6.7114667761020486E-2</v>
      </c>
      <c r="C743" s="8">
        <v>6.4977257959714096E-2</v>
      </c>
      <c r="D743" s="8">
        <v>6.9252077562326861E-2</v>
      </c>
    </row>
    <row r="744" spans="1:4">
      <c r="A744" s="8">
        <v>9</v>
      </c>
      <c r="B744" s="9">
        <v>7.2814639768845765E-2</v>
      </c>
      <c r="C744" s="8">
        <v>6.6577896138482029E-2</v>
      </c>
      <c r="D744" s="8">
        <v>7.9051383399209488E-2</v>
      </c>
    </row>
    <row r="745" spans="1:4">
      <c r="A745" s="8">
        <v>10</v>
      </c>
      <c r="B745" s="9">
        <v>8.653846153846155E-2</v>
      </c>
      <c r="C745" s="8">
        <v>7.6923076923076927E-2</v>
      </c>
      <c r="D745" s="8">
        <v>9.6153846153846159E-2</v>
      </c>
    </row>
    <row r="746" spans="1:4">
      <c r="A746" s="8">
        <v>11</v>
      </c>
      <c r="B746" s="9">
        <v>9.3864869595659026E-2</v>
      </c>
      <c r="C746" s="8">
        <v>8.6206896551724144E-2</v>
      </c>
      <c r="D746" s="8">
        <v>0.10152284263959391</v>
      </c>
    </row>
    <row r="747" spans="1:4">
      <c r="A747" s="8">
        <v>12</v>
      </c>
      <c r="B747" s="9">
        <v>9.6684442383491775E-2</v>
      </c>
      <c r="C747" s="8">
        <v>8.8105726872246701E-2</v>
      </c>
      <c r="D747" s="8">
        <v>0.10526315789473684</v>
      </c>
    </row>
    <row r="748" spans="1:4">
      <c r="A748" s="8">
        <v>1814</v>
      </c>
      <c r="B748" s="9">
        <v>0.10085945399393327</v>
      </c>
      <c r="C748" s="8">
        <v>9.3023255813953487E-2</v>
      </c>
      <c r="D748" s="8">
        <v>0.10869565217391304</v>
      </c>
    </row>
    <row r="749" spans="1:4">
      <c r="A749" s="8">
        <v>2</v>
      </c>
      <c r="B749" s="9">
        <v>9.6109839816933634E-2</v>
      </c>
      <c r="C749" s="8">
        <v>8.6956521739130432E-2</v>
      </c>
      <c r="D749" s="8">
        <v>0.10526315789473684</v>
      </c>
    </row>
    <row r="750" spans="1:4">
      <c r="A750" s="8">
        <v>3</v>
      </c>
      <c r="B750" s="9">
        <v>0.1001984126984127</v>
      </c>
      <c r="C750" s="8">
        <v>8.9285714285714288E-2</v>
      </c>
      <c r="D750" s="8">
        <v>0.1111111111111111</v>
      </c>
    </row>
    <row r="751" spans="1:4">
      <c r="A751" s="8">
        <v>4</v>
      </c>
      <c r="B751" s="9">
        <v>8.8383838383838384E-2</v>
      </c>
      <c r="C751" s="8">
        <v>7.575757575757576E-2</v>
      </c>
      <c r="D751" s="8">
        <v>0.10101010101010101</v>
      </c>
    </row>
    <row r="752" spans="1:4">
      <c r="A752" s="8">
        <v>5</v>
      </c>
      <c r="B752" s="9">
        <v>8.3930327293159149E-2</v>
      </c>
      <c r="C752" s="8">
        <v>7.9365079365079361E-2</v>
      </c>
      <c r="D752" s="8">
        <v>8.8495575221238937E-2</v>
      </c>
    </row>
    <row r="753" spans="1:4">
      <c r="A753" s="8">
        <v>6</v>
      </c>
      <c r="B753" s="9">
        <v>7.6638091731968283E-2</v>
      </c>
      <c r="C753" s="8">
        <v>7.1174377224199295E-2</v>
      </c>
      <c r="D753" s="8">
        <v>8.2101806239737271E-2</v>
      </c>
    </row>
    <row r="754" spans="1:4">
      <c r="A754" s="8">
        <v>7</v>
      </c>
      <c r="B754" s="9">
        <v>7.4581261631621348E-2</v>
      </c>
      <c r="C754" s="8">
        <v>7.1942446043165464E-2</v>
      </c>
      <c r="D754" s="8">
        <v>7.7220077220077218E-2</v>
      </c>
    </row>
    <row r="755" spans="1:4">
      <c r="A755" s="8">
        <v>8</v>
      </c>
      <c r="B755" s="9">
        <v>6.758720930232559E-2</v>
      </c>
      <c r="C755" s="8">
        <v>6.25E-2</v>
      </c>
      <c r="D755" s="8">
        <v>7.2674418604651167E-2</v>
      </c>
    </row>
    <row r="756" spans="1:4">
      <c r="A756" s="8">
        <v>9</v>
      </c>
      <c r="B756" s="9">
        <v>6.6048617005070628E-2</v>
      </c>
      <c r="C756" s="8">
        <v>6.2893081761006289E-2</v>
      </c>
      <c r="D756" s="8">
        <v>6.9204152249134954E-2</v>
      </c>
    </row>
    <row r="757" spans="1:4">
      <c r="A757" s="8">
        <v>10</v>
      </c>
      <c r="B757" s="9">
        <v>6.7172528285544153E-2</v>
      </c>
      <c r="C757" s="8">
        <v>6.6225165562913912E-2</v>
      </c>
      <c r="D757" s="8">
        <v>6.811989100817438E-2</v>
      </c>
    </row>
    <row r="758" spans="1:4">
      <c r="A758" s="8">
        <v>11</v>
      </c>
      <c r="B758" s="9">
        <v>6.8733147274521747E-2</v>
      </c>
      <c r="C758" s="8">
        <v>6.7340067340067339E-2</v>
      </c>
      <c r="D758" s="8">
        <v>7.0126227208976155E-2</v>
      </c>
    </row>
    <row r="759" spans="1:4">
      <c r="A759" s="8">
        <v>12</v>
      </c>
      <c r="B759" s="9">
        <v>6.8991243345913542E-2</v>
      </c>
      <c r="C759" s="8">
        <v>6.7658998646820026E-2</v>
      </c>
      <c r="D759" s="8">
        <v>7.0323488045007043E-2</v>
      </c>
    </row>
    <row r="760" spans="1:4">
      <c r="A760" s="8">
        <v>1815</v>
      </c>
      <c r="B760" s="9">
        <v>6.6140686570033108E-2</v>
      </c>
      <c r="C760" s="8">
        <v>6.3694267515923567E-2</v>
      </c>
      <c r="D760" s="8">
        <v>6.858710562414265E-2</v>
      </c>
    </row>
    <row r="761" spans="1:4">
      <c r="A761" s="8">
        <v>2</v>
      </c>
      <c r="B761" s="9">
        <v>6.3410712491206916E-2</v>
      </c>
      <c r="C761" s="8">
        <v>6.2305295950155763E-2</v>
      </c>
      <c r="D761" s="8">
        <v>6.4516129032258063E-2</v>
      </c>
    </row>
    <row r="762" spans="1:4">
      <c r="A762" s="8">
        <v>3</v>
      </c>
      <c r="B762" s="9">
        <v>6.8786432501414058E-2</v>
      </c>
      <c r="C762" s="8">
        <v>6.1236987140232693E-2</v>
      </c>
      <c r="D762" s="8">
        <v>7.6335877862595422E-2</v>
      </c>
    </row>
    <row r="763" spans="1:4">
      <c r="A763" s="8">
        <v>4</v>
      </c>
      <c r="B763" s="9">
        <v>8.1686429512516479E-2</v>
      </c>
      <c r="C763" s="8">
        <v>7.2463768115942032E-2</v>
      </c>
      <c r="D763" s="8">
        <v>9.0909090909090912E-2</v>
      </c>
    </row>
    <row r="764" spans="1:4">
      <c r="A764" s="8">
        <v>5</v>
      </c>
      <c r="B764" s="9">
        <v>8.4803499713138275E-2</v>
      </c>
      <c r="C764" s="8">
        <v>8.0321285140562249E-2</v>
      </c>
      <c r="D764" s="8">
        <v>8.9285714285714288E-2</v>
      </c>
    </row>
    <row r="765" spans="1:4">
      <c r="A765" s="8">
        <v>6</v>
      </c>
      <c r="B765" s="9">
        <v>8.5048599199542607E-2</v>
      </c>
      <c r="C765" s="8">
        <v>7.575757575757576E-2</v>
      </c>
      <c r="D765" s="8">
        <v>9.4339622641509441E-2</v>
      </c>
    </row>
    <row r="766" spans="1:4">
      <c r="A766" s="8">
        <v>7</v>
      </c>
      <c r="B766" s="9">
        <v>8.0485151049667178E-2</v>
      </c>
      <c r="C766" s="8">
        <v>7.1684587813620068E-2</v>
      </c>
      <c r="D766" s="8">
        <v>8.9285714285714288E-2</v>
      </c>
    </row>
    <row r="767" spans="1:4">
      <c r="A767" s="8">
        <v>8</v>
      </c>
      <c r="B767" s="9">
        <v>8.1686429512516479E-2</v>
      </c>
      <c r="C767" s="8">
        <v>7.2463768115942032E-2</v>
      </c>
      <c r="D767" s="8">
        <v>9.0909090909090912E-2</v>
      </c>
    </row>
    <row r="768" spans="1:4">
      <c r="A768" s="8">
        <v>9</v>
      </c>
      <c r="B768" s="9">
        <v>8.4056704808071703E-2</v>
      </c>
      <c r="C768" s="8">
        <v>7.9617834394904469E-2</v>
      </c>
      <c r="D768" s="8">
        <v>8.8495575221238937E-2</v>
      </c>
    </row>
    <row r="769" spans="1:4">
      <c r="A769" s="8">
        <v>10</v>
      </c>
      <c r="B769" s="9">
        <v>8.5893811518540683E-2</v>
      </c>
      <c r="C769" s="8">
        <v>8.3056478405315617E-2</v>
      </c>
      <c r="D769" s="8">
        <v>8.8731144631765749E-2</v>
      </c>
    </row>
    <row r="770" spans="1:4">
      <c r="A770" s="8">
        <v>11</v>
      </c>
      <c r="B770" s="9">
        <v>9.1091190517576762E-2</v>
      </c>
      <c r="C770" s="8">
        <v>8.6580086580086577E-2</v>
      </c>
      <c r="D770" s="8">
        <v>9.5602294455066933E-2</v>
      </c>
    </row>
    <row r="771" spans="1:4">
      <c r="A771" s="8">
        <v>12</v>
      </c>
      <c r="B771" s="9">
        <v>8.6863647227533466E-2</v>
      </c>
      <c r="C771" s="8">
        <v>7.8125E-2</v>
      </c>
      <c r="D771" s="8">
        <v>9.5602294455066933E-2</v>
      </c>
    </row>
    <row r="772" spans="1:4">
      <c r="A772" s="8">
        <v>1816</v>
      </c>
      <c r="B772" s="9">
        <v>8.0868520066889632E-2</v>
      </c>
      <c r="C772" s="8">
        <v>7.8125E-2</v>
      </c>
      <c r="D772" s="8">
        <v>8.3612040133779264E-2</v>
      </c>
    </row>
    <row r="773" spans="1:4">
      <c r="A773" s="8">
        <v>2</v>
      </c>
      <c r="B773" s="9">
        <v>8.0556102821472644E-2</v>
      </c>
      <c r="C773" s="8">
        <v>7.7639751552795025E-2</v>
      </c>
      <c r="D773" s="8">
        <v>8.347245409015025E-2</v>
      </c>
    </row>
    <row r="774" spans="1:4">
      <c r="A774" s="8">
        <v>3</v>
      </c>
      <c r="B774" s="9">
        <v>8.2260734434647487E-2</v>
      </c>
      <c r="C774" s="8">
        <v>7.9051383399209488E-2</v>
      </c>
      <c r="D774" s="8">
        <v>8.5470085470085472E-2</v>
      </c>
    </row>
    <row r="775" spans="1:4">
      <c r="A775" s="8">
        <v>4</v>
      </c>
      <c r="B775" s="9">
        <v>8.4757693556404098E-2</v>
      </c>
      <c r="C775" s="8">
        <v>8.3752093802345051E-2</v>
      </c>
      <c r="D775" s="8">
        <v>8.5763293310463132E-2</v>
      </c>
    </row>
    <row r="776" spans="1:4">
      <c r="A776" s="8">
        <v>5</v>
      </c>
      <c r="B776" s="9">
        <v>8.3767135781335503E-2</v>
      </c>
      <c r="C776" s="8">
        <v>8.2644628099173556E-2</v>
      </c>
      <c r="D776" s="8">
        <v>8.4889643463497449E-2</v>
      </c>
    </row>
    <row r="777" spans="1:4">
      <c r="A777" s="8">
        <v>6</v>
      </c>
      <c r="B777" s="9">
        <v>8.4186775589803475E-2</v>
      </c>
      <c r="C777" s="8">
        <v>8.3194675540765387E-2</v>
      </c>
      <c r="D777" s="8">
        <v>8.5178875638841564E-2</v>
      </c>
    </row>
    <row r="778" spans="1:4">
      <c r="A778" s="8">
        <v>7</v>
      </c>
      <c r="B778" s="9">
        <v>8.6125076003618517E-2</v>
      </c>
      <c r="C778" s="8">
        <v>8.453085376162299E-2</v>
      </c>
      <c r="D778" s="8">
        <v>8.771929824561403E-2</v>
      </c>
    </row>
    <row r="779" spans="1:4">
      <c r="A779" s="8">
        <v>8</v>
      </c>
      <c r="B779" s="9">
        <v>8.7264287433028845E-2</v>
      </c>
      <c r="C779" s="8">
        <v>8.6655112651646438E-2</v>
      </c>
      <c r="D779" s="8">
        <v>8.7873462214411252E-2</v>
      </c>
    </row>
    <row r="780" spans="1:4">
      <c r="A780" s="8">
        <v>9</v>
      </c>
      <c r="B780" s="9">
        <v>8.8044808726236046E-2</v>
      </c>
      <c r="C780" s="8">
        <v>8.5836909871244635E-2</v>
      </c>
      <c r="D780" s="8">
        <v>9.0252707581227443E-2</v>
      </c>
    </row>
    <row r="781" spans="1:4">
      <c r="A781" s="8">
        <v>10</v>
      </c>
      <c r="B781" s="9">
        <v>8.6324320135436408E-2</v>
      </c>
      <c r="C781" s="8">
        <v>8.5616438356164379E-2</v>
      </c>
      <c r="D781" s="8">
        <v>8.7032201914708437E-2</v>
      </c>
    </row>
    <row r="782" spans="1:4">
      <c r="A782" s="8">
        <v>11</v>
      </c>
      <c r="B782" s="9">
        <v>8.9086771387565128E-2</v>
      </c>
      <c r="C782" s="8">
        <v>8.6430423509075191E-2</v>
      </c>
      <c r="D782" s="8">
        <v>9.1743119266055051E-2</v>
      </c>
    </row>
    <row r="783" spans="1:4">
      <c r="A783" s="8">
        <v>12</v>
      </c>
      <c r="B783" s="9">
        <v>9.0683372796632467E-2</v>
      </c>
      <c r="C783" s="8">
        <v>8.9285714285714288E-2</v>
      </c>
      <c r="D783" s="8">
        <v>9.2081031307550645E-2</v>
      </c>
    </row>
    <row r="784" spans="1:4">
      <c r="A784" s="8">
        <v>1817</v>
      </c>
      <c r="B784" s="9">
        <v>8.6396867229493315E-2</v>
      </c>
      <c r="C784" s="8">
        <v>8.1967213114754092E-2</v>
      </c>
      <c r="D784" s="8">
        <v>9.0826521344232525E-2</v>
      </c>
    </row>
    <row r="785" spans="1:4">
      <c r="A785" s="8">
        <v>2</v>
      </c>
      <c r="B785" s="9">
        <v>8.2733419100539246E-2</v>
      </c>
      <c r="C785" s="8">
        <v>8.1433224755700334E-2</v>
      </c>
      <c r="D785" s="8">
        <v>8.4033613445378158E-2</v>
      </c>
    </row>
    <row r="786" spans="1:4">
      <c r="A786" s="8">
        <v>3</v>
      </c>
      <c r="B786" s="9">
        <v>8.2502636682203256E-2</v>
      </c>
      <c r="C786" s="8">
        <v>8.0971659919028341E-2</v>
      </c>
      <c r="D786" s="8">
        <v>8.4033613445378158E-2</v>
      </c>
    </row>
    <row r="787" spans="1:4">
      <c r="A787" s="8">
        <v>4</v>
      </c>
      <c r="B787" s="9">
        <v>7.8585522259218152E-2</v>
      </c>
      <c r="C787" s="8">
        <v>7.5471698113207544E-2</v>
      </c>
      <c r="D787" s="8">
        <v>8.1699346405228759E-2</v>
      </c>
    </row>
    <row r="788" spans="1:4">
      <c r="A788" s="8">
        <v>5</v>
      </c>
      <c r="B788" s="9">
        <v>7.3910859189847439E-2</v>
      </c>
      <c r="C788" s="8">
        <v>7.2463768115942032E-2</v>
      </c>
      <c r="D788" s="8">
        <v>7.5357950263752832E-2</v>
      </c>
    </row>
    <row r="789" spans="1:4">
      <c r="A789" s="8">
        <v>6</v>
      </c>
      <c r="B789" s="9">
        <v>7.6745609491972316E-2</v>
      </c>
      <c r="C789" s="8">
        <v>7.4626865671641784E-2</v>
      </c>
      <c r="D789" s="8">
        <v>7.8864353312302835E-2</v>
      </c>
    </row>
    <row r="790" spans="1:4">
      <c r="A790" s="8">
        <v>7</v>
      </c>
      <c r="B790" s="9">
        <v>7.5142389894546899E-2</v>
      </c>
      <c r="C790" s="8">
        <v>7.2463768115942032E-2</v>
      </c>
      <c r="D790" s="8">
        <v>7.7821011673151752E-2</v>
      </c>
    </row>
    <row r="791" spans="1:4">
      <c r="A791" s="8">
        <v>8</v>
      </c>
      <c r="B791" s="9">
        <v>7.3050735309811959E-2</v>
      </c>
      <c r="C791" s="8">
        <v>7.2463768115942032E-2</v>
      </c>
      <c r="D791" s="8">
        <v>7.3637702503681873E-2</v>
      </c>
    </row>
    <row r="792" spans="1:4">
      <c r="A792" s="8">
        <v>9</v>
      </c>
      <c r="B792" s="9">
        <v>7.453157529493408E-2</v>
      </c>
      <c r="C792" s="8">
        <v>7.2727272727272724E-2</v>
      </c>
      <c r="D792" s="8">
        <v>7.6335877862595422E-2</v>
      </c>
    </row>
    <row r="793" spans="1:4">
      <c r="A793" s="8">
        <v>10</v>
      </c>
      <c r="B793" s="9">
        <v>7.6959794947599844E-2</v>
      </c>
      <c r="C793" s="8">
        <v>7.6219512195121963E-2</v>
      </c>
      <c r="D793" s="8">
        <v>7.770007770007771E-2</v>
      </c>
    </row>
    <row r="794" spans="1:4">
      <c r="A794" s="8">
        <v>11</v>
      </c>
      <c r="B794" s="9">
        <v>7.7186963979416809E-2</v>
      </c>
      <c r="C794" s="8">
        <v>7.575757575757576E-2</v>
      </c>
      <c r="D794" s="8">
        <v>7.8616352201257858E-2</v>
      </c>
    </row>
    <row r="795" spans="1:4">
      <c r="A795" s="8">
        <v>12</v>
      </c>
      <c r="B795" s="9">
        <v>7.8112609040444106E-2</v>
      </c>
      <c r="C795" s="8">
        <v>7.6923076923076927E-2</v>
      </c>
      <c r="D795" s="8">
        <v>7.9302141157811271E-2</v>
      </c>
    </row>
    <row r="796" spans="1:4">
      <c r="A796" s="8">
        <v>1818</v>
      </c>
      <c r="B796" s="9">
        <v>7.5923471445859508E-2</v>
      </c>
      <c r="C796" s="8">
        <v>7.4626865671641784E-2</v>
      </c>
      <c r="D796" s="8">
        <v>7.7220077220077218E-2</v>
      </c>
    </row>
    <row r="797" spans="1:4">
      <c r="A797" s="8">
        <v>2</v>
      </c>
      <c r="B797" s="9">
        <v>7.4970776009351675E-2</v>
      </c>
      <c r="C797" s="8">
        <v>7.418397626112759E-2</v>
      </c>
      <c r="D797" s="8">
        <v>7.575757575757576E-2</v>
      </c>
    </row>
    <row r="798" spans="1:4">
      <c r="A798" s="8">
        <v>3</v>
      </c>
      <c r="B798" s="9">
        <v>7.5378668461667367E-2</v>
      </c>
      <c r="C798" s="8">
        <v>7.412898443291327E-2</v>
      </c>
      <c r="D798" s="8">
        <v>7.662835249042145E-2</v>
      </c>
    </row>
    <row r="799" spans="1:4">
      <c r="A799" s="8">
        <v>4</v>
      </c>
      <c r="B799" s="9">
        <v>7.4597142056099727E-2</v>
      </c>
      <c r="C799" s="8">
        <v>7.320644216691069E-2</v>
      </c>
      <c r="D799" s="8">
        <v>7.598784194528875E-2</v>
      </c>
    </row>
    <row r="800" spans="1:4">
      <c r="A800" s="8">
        <v>5</v>
      </c>
      <c r="B800" s="9">
        <v>7.3094261419476142E-2</v>
      </c>
      <c r="C800" s="8">
        <v>7.1839080459770124E-2</v>
      </c>
      <c r="D800" s="8">
        <v>7.434944237918216E-2</v>
      </c>
    </row>
    <row r="801" spans="1:4">
      <c r="A801" s="8">
        <v>6</v>
      </c>
      <c r="B801" s="9">
        <v>6.971033692925116E-2</v>
      </c>
      <c r="C801" s="8">
        <v>6.7114093959731544E-2</v>
      </c>
      <c r="D801" s="8">
        <v>7.2306579898770776E-2</v>
      </c>
    </row>
    <row r="802" spans="1:4">
      <c r="A802" s="8">
        <v>7</v>
      </c>
      <c r="B802" s="9">
        <v>6.5721315721315718E-2</v>
      </c>
      <c r="C802" s="8">
        <v>6.4102564102564097E-2</v>
      </c>
      <c r="D802" s="8">
        <v>6.7340067340067339E-2</v>
      </c>
    </row>
    <row r="803" spans="1:4">
      <c r="A803" s="8">
        <v>8</v>
      </c>
      <c r="B803" s="9">
        <v>6.3383676092544985E-2</v>
      </c>
      <c r="C803" s="8">
        <v>6.25E-2</v>
      </c>
      <c r="D803" s="8">
        <v>6.4267352185089971E-2</v>
      </c>
    </row>
    <row r="804" spans="1:4">
      <c r="A804" s="8">
        <v>9</v>
      </c>
      <c r="B804" s="9">
        <v>6.5488837791425322E-2</v>
      </c>
      <c r="C804" s="8">
        <v>6.257822277847308E-2</v>
      </c>
      <c r="D804" s="8">
        <v>6.8399452804377564E-2</v>
      </c>
    </row>
    <row r="805" spans="1:4">
      <c r="A805" s="8">
        <v>10</v>
      </c>
      <c r="B805" s="9">
        <v>6.793378069463904E-2</v>
      </c>
      <c r="C805" s="8">
        <v>6.5445026178010471E-2</v>
      </c>
      <c r="D805" s="8">
        <v>7.0422535211267609E-2</v>
      </c>
    </row>
    <row r="806" spans="1:4">
      <c r="A806" s="8">
        <v>11</v>
      </c>
      <c r="B806" s="9">
        <v>7.1486928104575173E-2</v>
      </c>
      <c r="C806" s="8">
        <v>6.9444444444444448E-2</v>
      </c>
      <c r="D806" s="8">
        <v>7.3529411764705885E-2</v>
      </c>
    </row>
    <row r="807" spans="1:4">
      <c r="A807" s="8">
        <v>12</v>
      </c>
      <c r="B807" s="9">
        <v>7.7637889688249404E-2</v>
      </c>
      <c r="C807" s="8">
        <v>7.1942446043165464E-2</v>
      </c>
      <c r="D807" s="8">
        <v>8.3333333333333329E-2</v>
      </c>
    </row>
    <row r="808" spans="1:4">
      <c r="A808" s="8">
        <v>1819</v>
      </c>
      <c r="B808" s="9">
        <v>7.3824041811846694E-2</v>
      </c>
      <c r="C808" s="8">
        <v>7.1428571428571425E-2</v>
      </c>
      <c r="D808" s="8">
        <v>7.6219512195121963E-2</v>
      </c>
    </row>
    <row r="809" spans="1:4">
      <c r="A809" s="8">
        <v>2</v>
      </c>
      <c r="B809" s="9">
        <v>7.2746291365538229E-2</v>
      </c>
      <c r="C809" s="8">
        <v>6.9735006973500699E-2</v>
      </c>
      <c r="D809" s="8">
        <v>7.575757575757576E-2</v>
      </c>
    </row>
    <row r="810" spans="1:4">
      <c r="A810" s="8">
        <v>3</v>
      </c>
      <c r="B810" s="9">
        <v>7.4940603048800333E-2</v>
      </c>
      <c r="C810" s="8">
        <v>7.2780203784570591E-2</v>
      </c>
      <c r="D810" s="8">
        <v>7.7101002313030076E-2</v>
      </c>
    </row>
    <row r="811" spans="1:4">
      <c r="A811" s="8">
        <v>4</v>
      </c>
      <c r="B811" s="9">
        <v>7.4750482554030689E-2</v>
      </c>
      <c r="C811" s="8">
        <v>7.3800738007380073E-2</v>
      </c>
      <c r="D811" s="8">
        <v>7.5700227100681305E-2</v>
      </c>
    </row>
    <row r="812" spans="1:4">
      <c r="A812" s="8">
        <v>5</v>
      </c>
      <c r="B812" s="9">
        <v>7.5022976841932265E-2</v>
      </c>
      <c r="C812" s="8">
        <v>7.4460163812360383E-2</v>
      </c>
      <c r="D812" s="8">
        <v>7.5585789871504147E-2</v>
      </c>
    </row>
    <row r="813" spans="1:4">
      <c r="A813" s="8">
        <v>6</v>
      </c>
      <c r="B813" s="9">
        <v>7.3576607888364898E-2</v>
      </c>
      <c r="C813" s="8">
        <v>7.2358900144717811E-2</v>
      </c>
      <c r="D813" s="8">
        <v>7.4794315632011971E-2</v>
      </c>
    </row>
    <row r="814" spans="1:4">
      <c r="A814" s="8">
        <v>7</v>
      </c>
      <c r="B814" s="9">
        <v>7.0946109134236074E-2</v>
      </c>
      <c r="C814" s="8">
        <v>6.9637883008356549E-2</v>
      </c>
      <c r="D814" s="8">
        <v>7.2254335260115599E-2</v>
      </c>
    </row>
    <row r="815" spans="1:4">
      <c r="A815" s="8">
        <v>8</v>
      </c>
      <c r="B815" s="9">
        <v>6.9814228359051295E-2</v>
      </c>
      <c r="C815" s="8">
        <v>6.9156293222683268E-2</v>
      </c>
      <c r="D815" s="8">
        <v>7.0472163495419307E-2</v>
      </c>
    </row>
    <row r="816" spans="1:4">
      <c r="A816" s="8">
        <v>9</v>
      </c>
      <c r="B816" s="9">
        <v>7.0090730083622821E-2</v>
      </c>
      <c r="C816" s="8">
        <v>6.835269993164729E-2</v>
      </c>
      <c r="D816" s="8">
        <v>7.1828760235598338E-2</v>
      </c>
    </row>
    <row r="817" spans="1:4">
      <c r="A817" s="8">
        <v>10</v>
      </c>
      <c r="B817" s="9">
        <v>7.1113578471672392E-2</v>
      </c>
      <c r="C817" s="8">
        <v>7.0077084793272612E-2</v>
      </c>
      <c r="D817" s="8">
        <v>7.2150072150072159E-2</v>
      </c>
    </row>
    <row r="818" spans="1:4">
      <c r="A818" s="8">
        <v>11</v>
      </c>
      <c r="B818" s="9">
        <v>7.2198781059540557E-2</v>
      </c>
      <c r="C818" s="8">
        <v>7.0323488045007043E-2</v>
      </c>
      <c r="D818" s="8">
        <v>7.407407407407407E-2</v>
      </c>
    </row>
    <row r="819" spans="1:4">
      <c r="A819" s="8">
        <v>12</v>
      </c>
      <c r="B819" s="9">
        <v>7.1889872152745324E-2</v>
      </c>
      <c r="C819" s="8">
        <v>6.997900629811056E-2</v>
      </c>
      <c r="D819" s="8">
        <v>7.3800738007380073E-2</v>
      </c>
    </row>
    <row r="820" spans="1:4">
      <c r="A820" s="8">
        <v>1820</v>
      </c>
      <c r="B820" s="9">
        <v>6.9451009065285882E-2</v>
      </c>
      <c r="C820" s="8">
        <v>6.8775790921595595E-2</v>
      </c>
      <c r="D820" s="8">
        <v>7.0126227208976155E-2</v>
      </c>
    </row>
    <row r="821" spans="1:4">
      <c r="A821" s="8">
        <v>2</v>
      </c>
      <c r="B821" s="9">
        <v>6.9288085902836485E-2</v>
      </c>
      <c r="C821" s="8">
        <v>6.7249495628782796E-2</v>
      </c>
      <c r="D821" s="8">
        <v>7.1326676176890161E-2</v>
      </c>
    </row>
    <row r="822" spans="1:4">
      <c r="A822" s="8">
        <v>3</v>
      </c>
      <c r="B822" s="9">
        <v>6.8338661010366578E-2</v>
      </c>
      <c r="C822" s="8">
        <v>6.684491978609626E-2</v>
      </c>
      <c r="D822" s="8">
        <v>6.9832402234636881E-2</v>
      </c>
    </row>
    <row r="823" spans="1:4">
      <c r="A823" s="8">
        <v>4</v>
      </c>
      <c r="B823" s="9">
        <v>6.7777753278872269E-2</v>
      </c>
      <c r="C823" s="8">
        <v>6.7249495628782796E-2</v>
      </c>
      <c r="D823" s="8">
        <v>6.8306010928961741E-2</v>
      </c>
    </row>
    <row r="824" spans="1:4">
      <c r="A824" s="8">
        <v>5</v>
      </c>
      <c r="B824" s="9">
        <v>6.7531920346077148E-2</v>
      </c>
      <c r="C824" s="8">
        <v>6.6711140760507007E-2</v>
      </c>
      <c r="D824" s="8">
        <v>6.835269993164729E-2</v>
      </c>
    </row>
    <row r="825" spans="1:4">
      <c r="A825" s="8">
        <v>6</v>
      </c>
      <c r="B825" s="9">
        <v>6.6534099832116417E-2</v>
      </c>
      <c r="C825" s="8">
        <v>6.4808813998703821E-2</v>
      </c>
      <c r="D825" s="8">
        <v>6.8259385665529013E-2</v>
      </c>
    </row>
    <row r="826" spans="1:4">
      <c r="A826" s="8">
        <v>7</v>
      </c>
      <c r="B826" s="9">
        <v>6.3706776777946589E-2</v>
      </c>
      <c r="C826" s="8">
        <v>6.2814070351758802E-2</v>
      </c>
      <c r="D826" s="8">
        <v>6.4599483204134361E-2</v>
      </c>
    </row>
    <row r="827" spans="1:4">
      <c r="A827" s="8">
        <v>8</v>
      </c>
      <c r="B827" s="9">
        <v>6.4115315504891676E-2</v>
      </c>
      <c r="C827" s="8">
        <v>6.321112515802782E-2</v>
      </c>
      <c r="D827" s="8">
        <v>6.5019505851755519E-2</v>
      </c>
    </row>
    <row r="828" spans="1:4">
      <c r="A828" s="8">
        <v>9</v>
      </c>
      <c r="B828" s="9">
        <v>6.6230100287537702E-2</v>
      </c>
      <c r="C828" s="8">
        <v>6.4432989690721656E-2</v>
      </c>
      <c r="D828" s="8">
        <v>6.8027210884353748E-2</v>
      </c>
    </row>
    <row r="829" spans="1:4">
      <c r="A829" s="8">
        <v>10</v>
      </c>
      <c r="B829" s="9">
        <v>6.703388535947595E-2</v>
      </c>
      <c r="C829" s="8">
        <v>6.6225165562913912E-2</v>
      </c>
      <c r="D829" s="8">
        <v>6.7842605156037988E-2</v>
      </c>
    </row>
    <row r="830" spans="1:4">
      <c r="A830" s="8">
        <v>11</v>
      </c>
      <c r="B830" s="9">
        <v>6.5202459161328066E-2</v>
      </c>
      <c r="C830" s="8">
        <v>6.4267352185089971E-2</v>
      </c>
      <c r="D830" s="8">
        <v>6.6137566137566148E-2</v>
      </c>
    </row>
    <row r="831" spans="1:4">
      <c r="A831" s="8">
        <v>12</v>
      </c>
      <c r="B831" s="9">
        <v>6.3911567626197791E-2</v>
      </c>
      <c r="C831" s="8">
        <v>6.2972292191435769E-2</v>
      </c>
      <c r="D831" s="8">
        <v>6.4850843060959798E-2</v>
      </c>
    </row>
    <row r="832" spans="1:4">
      <c r="A832" s="8">
        <v>1821</v>
      </c>
      <c r="B832" s="9">
        <v>6.1689035520558065E-2</v>
      </c>
      <c r="C832" s="8">
        <v>6.0642813826561552E-2</v>
      </c>
      <c r="D832" s="8">
        <v>6.2735257214554571E-2</v>
      </c>
    </row>
    <row r="833" spans="1:4">
      <c r="A833" s="8">
        <v>2</v>
      </c>
      <c r="B833" s="9">
        <v>5.9957788854461361E-2</v>
      </c>
      <c r="C833" s="8">
        <v>5.8377116170461173E-2</v>
      </c>
      <c r="D833" s="8">
        <v>6.1538461538461542E-2</v>
      </c>
    </row>
    <row r="834" spans="1:4">
      <c r="A834" s="8">
        <v>3</v>
      </c>
      <c r="B834" s="9">
        <v>6.3035834222274906E-2</v>
      </c>
      <c r="C834" s="8">
        <v>5.8275058275058279E-2</v>
      </c>
      <c r="D834" s="8">
        <v>6.7796610169491525E-2</v>
      </c>
    </row>
    <row r="835" spans="1:4">
      <c r="A835" s="8">
        <v>4</v>
      </c>
      <c r="B835" s="9">
        <v>6.0907122943364533E-2</v>
      </c>
      <c r="C835" s="8">
        <v>6.0313630880579006E-2</v>
      </c>
      <c r="D835" s="8">
        <v>6.1500615006150061E-2</v>
      </c>
    </row>
    <row r="836" spans="1:4">
      <c r="A836" s="8">
        <v>5</v>
      </c>
      <c r="B836" s="9">
        <v>5.9727570959920123E-2</v>
      </c>
      <c r="C836" s="8">
        <v>5.8479532163742687E-2</v>
      </c>
      <c r="D836" s="8">
        <v>6.097560975609756E-2</v>
      </c>
    </row>
    <row r="837" spans="1:4">
      <c r="A837" s="8">
        <v>6</v>
      </c>
      <c r="B837" s="9">
        <v>5.7928038378457822E-2</v>
      </c>
      <c r="C837" s="8">
        <v>5.7273768613974804E-2</v>
      </c>
      <c r="D837" s="8">
        <v>5.8582308142940832E-2</v>
      </c>
    </row>
    <row r="838" spans="1:4">
      <c r="A838" s="8">
        <v>7</v>
      </c>
      <c r="B838" s="9">
        <v>5.8226773534973693E-2</v>
      </c>
      <c r="C838" s="8">
        <v>5.7836899942163095E-2</v>
      </c>
      <c r="D838" s="8">
        <v>5.8616647127784291E-2</v>
      </c>
    </row>
    <row r="839" spans="1:4">
      <c r="A839" s="8">
        <v>8</v>
      </c>
      <c r="B839" s="9">
        <v>5.7269580523686296E-2</v>
      </c>
      <c r="C839" s="8">
        <v>5.6433408577878111E-2</v>
      </c>
      <c r="D839" s="8">
        <v>5.8105752469494482E-2</v>
      </c>
    </row>
    <row r="840" spans="1:4">
      <c r="A840" s="8">
        <v>9</v>
      </c>
      <c r="B840" s="9">
        <v>5.7507858360409475E-2</v>
      </c>
      <c r="C840" s="8">
        <v>5.6433408577878111E-2</v>
      </c>
      <c r="D840" s="8">
        <v>5.8582308142940832E-2</v>
      </c>
    </row>
    <row r="841" spans="1:4">
      <c r="A841" s="8">
        <v>10</v>
      </c>
      <c r="B841" s="9">
        <v>5.5843155253637367E-2</v>
      </c>
      <c r="C841" s="8">
        <v>5.5157198014340866E-2</v>
      </c>
      <c r="D841" s="8">
        <v>5.652911249293386E-2</v>
      </c>
    </row>
    <row r="842" spans="1:4">
      <c r="A842" s="8">
        <v>11</v>
      </c>
      <c r="B842" s="9">
        <v>5.5620724814143874E-2</v>
      </c>
      <c r="C842" s="8">
        <v>5.5187637969094927E-2</v>
      </c>
      <c r="D842" s="8">
        <v>5.605381165919282E-2</v>
      </c>
    </row>
    <row r="843" spans="1:4">
      <c r="A843" s="8">
        <v>12</v>
      </c>
      <c r="B843" s="9">
        <v>5.8374991282872081E-2</v>
      </c>
      <c r="C843" s="8">
        <v>5.5959709009513157E-2</v>
      </c>
      <c r="D843" s="8">
        <v>6.0790273556231005E-2</v>
      </c>
    </row>
    <row r="844" spans="1:4">
      <c r="A844" s="8">
        <v>1822</v>
      </c>
      <c r="B844" s="9">
        <v>5.8500272579463587E-2</v>
      </c>
      <c r="C844" s="8">
        <v>5.7012542759407064E-2</v>
      </c>
      <c r="D844" s="8">
        <v>5.9988002399520103E-2</v>
      </c>
    </row>
    <row r="845" spans="1:4">
      <c r="A845" s="8">
        <v>2</v>
      </c>
      <c r="B845" s="9">
        <v>5.5769084902059042E-2</v>
      </c>
      <c r="C845" s="8">
        <v>5.4525627044711013E-2</v>
      </c>
      <c r="D845" s="8">
        <v>5.7012542759407064E-2</v>
      </c>
    </row>
    <row r="846" spans="1:4">
      <c r="A846" s="8">
        <v>3</v>
      </c>
      <c r="B846" s="9">
        <v>5.5680909491014813E-2</v>
      </c>
      <c r="C846" s="8">
        <v>5.4704595185995623E-2</v>
      </c>
      <c r="D846" s="8">
        <v>5.6657223796033995E-2</v>
      </c>
    </row>
    <row r="847" spans="1:4">
      <c r="A847" s="8">
        <v>4</v>
      </c>
      <c r="B847" s="9">
        <v>5.7364616543777745E-2</v>
      </c>
      <c r="C847" s="8">
        <v>5.6657223796033995E-2</v>
      </c>
      <c r="D847" s="8">
        <v>5.8072009291521488E-2</v>
      </c>
    </row>
    <row r="848" spans="1:4">
      <c r="A848" s="8">
        <v>5</v>
      </c>
      <c r="B848" s="9">
        <v>5.6378456437949379E-2</v>
      </c>
      <c r="C848" s="8">
        <v>5.5679287305122498E-2</v>
      </c>
      <c r="D848" s="8">
        <v>5.7077625570776259E-2</v>
      </c>
    </row>
    <row r="849" spans="1:4">
      <c r="A849" s="8">
        <v>6</v>
      </c>
      <c r="B849" s="9">
        <v>5.4971814671114769E-2</v>
      </c>
      <c r="C849" s="8">
        <v>5.4171180931744313E-2</v>
      </c>
      <c r="D849" s="8">
        <v>5.5772448410485218E-2</v>
      </c>
    </row>
    <row r="850" spans="1:4">
      <c r="A850" s="8">
        <v>7</v>
      </c>
      <c r="B850" s="9">
        <v>5.475297161898527E-2</v>
      </c>
      <c r="C850" s="8">
        <v>5.4318305268875614E-2</v>
      </c>
      <c r="D850" s="8">
        <v>5.5187637969094927E-2</v>
      </c>
    </row>
    <row r="851" spans="1:4">
      <c r="A851" s="8">
        <v>8</v>
      </c>
      <c r="B851" s="9">
        <v>5.3757568822979405E-2</v>
      </c>
      <c r="C851" s="8">
        <v>5.3078556263269634E-2</v>
      </c>
      <c r="D851" s="8">
        <v>5.443658138268917E-2</v>
      </c>
    </row>
    <row r="852" spans="1:4">
      <c r="A852" s="8">
        <v>9</v>
      </c>
      <c r="B852" s="9">
        <v>5.3534080165028794E-2</v>
      </c>
      <c r="C852" s="8">
        <v>5.2631578947368418E-2</v>
      </c>
      <c r="D852" s="8">
        <v>5.443658138268917E-2</v>
      </c>
    </row>
    <row r="853" spans="1:4">
      <c r="A853" s="8">
        <v>10</v>
      </c>
      <c r="B853" s="9">
        <v>5.3636092703420173E-2</v>
      </c>
      <c r="C853" s="8">
        <v>5.3276505061267986E-2</v>
      </c>
      <c r="D853" s="8">
        <v>5.399568034557236E-2</v>
      </c>
    </row>
    <row r="854" spans="1:4">
      <c r="A854" s="8">
        <v>11</v>
      </c>
      <c r="B854" s="9">
        <v>5.6221416180413188E-2</v>
      </c>
      <c r="C854" s="8">
        <v>5.3619302949061663E-2</v>
      </c>
      <c r="D854" s="8">
        <v>5.8823529411764705E-2</v>
      </c>
    </row>
    <row r="855" spans="1:4">
      <c r="A855" s="8">
        <v>12</v>
      </c>
      <c r="B855" s="9">
        <v>5.6344105124902448E-2</v>
      </c>
      <c r="C855" s="8">
        <v>5.4884742041712405E-2</v>
      </c>
      <c r="D855" s="8">
        <v>5.7803468208092484E-2</v>
      </c>
    </row>
    <row r="856" spans="1:4">
      <c r="A856" s="8">
        <v>1823</v>
      </c>
      <c r="B856" s="9">
        <v>6.1234067595855153E-2</v>
      </c>
      <c r="C856" s="8">
        <v>5.6242969628796394E-2</v>
      </c>
      <c r="D856" s="8">
        <v>6.6225165562913912E-2</v>
      </c>
    </row>
    <row r="857" spans="1:4">
      <c r="A857" s="8">
        <v>2</v>
      </c>
      <c r="B857" s="9">
        <v>6.3204769087122026E-2</v>
      </c>
      <c r="C857" s="8">
        <v>6.1050061050061048E-2</v>
      </c>
      <c r="D857" s="8">
        <v>6.535947712418301E-2</v>
      </c>
    </row>
    <row r="858" spans="1:4">
      <c r="A858" s="8">
        <v>3</v>
      </c>
      <c r="B858" s="9">
        <v>6.2931516981818689E-2</v>
      </c>
      <c r="C858" s="8">
        <v>6.0716454159077116E-2</v>
      </c>
      <c r="D858" s="8">
        <v>6.5146579804560262E-2</v>
      </c>
    </row>
    <row r="859" spans="1:4">
      <c r="A859" s="8">
        <v>4</v>
      </c>
      <c r="B859" s="9">
        <v>6.081724206627364E-2</v>
      </c>
      <c r="C859" s="8">
        <v>5.7736720554272522E-2</v>
      </c>
      <c r="D859" s="8">
        <v>6.3897763578274758E-2</v>
      </c>
    </row>
    <row r="860" spans="1:4">
      <c r="A860" s="8">
        <v>5</v>
      </c>
      <c r="B860" s="9">
        <v>5.7299755971608982E-2</v>
      </c>
      <c r="C860" s="8">
        <v>5.5741360089186176E-2</v>
      </c>
      <c r="D860" s="8">
        <v>5.885815185403178E-2</v>
      </c>
    </row>
    <row r="861" spans="1:4">
      <c r="A861" s="8">
        <v>6</v>
      </c>
      <c r="B861" s="9">
        <v>5.7029226015211258E-2</v>
      </c>
      <c r="C861" s="8">
        <v>5.605381165919282E-2</v>
      </c>
      <c r="D861" s="8">
        <v>5.8004640371229696E-2</v>
      </c>
    </row>
    <row r="862" spans="1:4">
      <c r="A862" s="8">
        <v>7</v>
      </c>
      <c r="B862" s="9">
        <v>5.547172341586476E-2</v>
      </c>
      <c r="C862" s="8">
        <v>5.4318305268875614E-2</v>
      </c>
      <c r="D862" s="8">
        <v>5.6625141562853906E-2</v>
      </c>
    </row>
    <row r="863" spans="1:4">
      <c r="A863" s="8">
        <v>8</v>
      </c>
      <c r="B863" s="9">
        <v>5.4228181131826959E-2</v>
      </c>
      <c r="C863" s="8">
        <v>5.3390282968499729E-2</v>
      </c>
      <c r="D863" s="8">
        <v>5.506607929515419E-2</v>
      </c>
    </row>
    <row r="864" spans="1:4">
      <c r="A864" s="8">
        <v>9</v>
      </c>
      <c r="B864" s="9">
        <v>5.5168163269776117E-2</v>
      </c>
      <c r="C864" s="8">
        <v>5.3966540744738258E-2</v>
      </c>
      <c r="D864" s="8">
        <v>5.6369785794813977E-2</v>
      </c>
    </row>
    <row r="865" spans="1:4">
      <c r="A865" s="8">
        <v>10</v>
      </c>
      <c r="B865" s="9">
        <v>5.5394922382678125E-2</v>
      </c>
      <c r="C865" s="8">
        <v>5.4704595185995623E-2</v>
      </c>
      <c r="D865" s="8">
        <v>5.6085249579360626E-2</v>
      </c>
    </row>
    <row r="866" spans="1:4">
      <c r="A866" s="8">
        <v>11</v>
      </c>
      <c r="B866" s="9">
        <v>5.5885200337278659E-2</v>
      </c>
      <c r="C866" s="8">
        <v>5.5432372505543233E-2</v>
      </c>
      <c r="D866" s="8">
        <v>5.6338028169014086E-2</v>
      </c>
    </row>
    <row r="867" spans="1:4">
      <c r="A867" s="8">
        <v>12</v>
      </c>
      <c r="B867" s="9">
        <v>5.4773974862765099E-2</v>
      </c>
      <c r="C867" s="8">
        <v>5.4054054054054057E-2</v>
      </c>
      <c r="D867" s="8">
        <v>5.549389567147614E-2</v>
      </c>
    </row>
    <row r="868" spans="1:4">
      <c r="A868" s="8">
        <v>1824</v>
      </c>
      <c r="B868" s="9">
        <v>5.2855746404133506E-2</v>
      </c>
      <c r="C868" s="8">
        <v>5.1948051948051951E-2</v>
      </c>
      <c r="D868" s="8">
        <v>5.3763440860215055E-2</v>
      </c>
    </row>
    <row r="869" spans="1:4">
      <c r="A869" s="8">
        <v>2</v>
      </c>
      <c r="B869" s="9">
        <v>5.0763317000302628E-2</v>
      </c>
      <c r="C869" s="8">
        <v>4.9578582052553298E-2</v>
      </c>
      <c r="D869" s="8">
        <v>5.1948051948051951E-2</v>
      </c>
    </row>
    <row r="870" spans="1:4">
      <c r="A870" s="8">
        <v>3</v>
      </c>
      <c r="B870" s="9">
        <v>4.9158605556757426E-2</v>
      </c>
      <c r="C870" s="8">
        <v>4.7709923664122141E-2</v>
      </c>
      <c r="D870" s="8">
        <v>5.0607287449392711E-2</v>
      </c>
    </row>
    <row r="871" spans="1:4">
      <c r="A871" s="8">
        <v>4</v>
      </c>
      <c r="B871" s="9">
        <v>4.8963685865480486E-2</v>
      </c>
      <c r="C871" s="8">
        <v>4.807692307692308E-2</v>
      </c>
      <c r="D871" s="8">
        <v>4.9850448654037885E-2</v>
      </c>
    </row>
    <row r="872" spans="1:4">
      <c r="A872" s="8">
        <v>5</v>
      </c>
      <c r="B872" s="9">
        <v>4.8197707693794271E-2</v>
      </c>
      <c r="C872" s="8">
        <v>4.7709923664122141E-2</v>
      </c>
      <c r="D872" s="8">
        <v>4.8685491723466402E-2</v>
      </c>
    </row>
    <row r="873" spans="1:4">
      <c r="A873" s="8">
        <v>6</v>
      </c>
      <c r="B873" s="9">
        <v>4.8602615755938355E-2</v>
      </c>
      <c r="C873" s="8">
        <v>4.784688995215311E-2</v>
      </c>
      <c r="D873" s="8">
        <v>4.9358341559723594E-2</v>
      </c>
    </row>
    <row r="874" spans="1:4">
      <c r="A874" s="8">
        <v>7</v>
      </c>
      <c r="B874" s="9">
        <v>5.0208492465451116E-2</v>
      </c>
      <c r="C874" s="8">
        <v>4.8923679060665359E-2</v>
      </c>
      <c r="D874" s="8">
        <v>5.1493305870236872E-2</v>
      </c>
    </row>
    <row r="875" spans="1:4">
      <c r="A875" s="8">
        <v>8</v>
      </c>
      <c r="B875" s="9">
        <v>5.009049900872483E-2</v>
      </c>
      <c r="C875" s="8">
        <v>4.9212598425196853E-2</v>
      </c>
      <c r="D875" s="8">
        <v>5.0968399592252807E-2</v>
      </c>
    </row>
    <row r="876" spans="1:4">
      <c r="A876" s="8">
        <v>9</v>
      </c>
      <c r="B876" s="9">
        <v>4.9777456744764879E-2</v>
      </c>
      <c r="C876" s="8">
        <v>4.8947626040137047E-2</v>
      </c>
      <c r="D876" s="8">
        <v>5.0607287449392711E-2</v>
      </c>
    </row>
    <row r="877" spans="1:4">
      <c r="A877" s="8">
        <v>10</v>
      </c>
      <c r="B877" s="9">
        <v>4.8963625240443162E-2</v>
      </c>
      <c r="C877" s="8">
        <v>4.8520135856380396E-2</v>
      </c>
      <c r="D877" s="8">
        <v>4.9407114624505928E-2</v>
      </c>
    </row>
    <row r="878" spans="1:4">
      <c r="A878" s="8">
        <v>11</v>
      </c>
      <c r="B878" s="9">
        <v>4.9278247884519663E-2</v>
      </c>
      <c r="C878" s="8">
        <v>4.878048780487805E-2</v>
      </c>
      <c r="D878" s="8">
        <v>4.9776007964161276E-2</v>
      </c>
    </row>
    <row r="879" spans="1:4">
      <c r="A879" s="8">
        <v>12</v>
      </c>
      <c r="B879" s="9">
        <v>4.9167250840000967E-2</v>
      </c>
      <c r="C879" s="8">
        <v>4.878048780487805E-2</v>
      </c>
      <c r="D879" s="8">
        <v>4.9554013875123884E-2</v>
      </c>
    </row>
    <row r="880" spans="1:4">
      <c r="A880" s="8">
        <v>1825</v>
      </c>
      <c r="B880" s="9">
        <v>4.8580578624545408E-2</v>
      </c>
      <c r="C880" s="8">
        <v>4.8309178743961352E-2</v>
      </c>
      <c r="D880" s="8">
        <v>4.8851978505129463E-2</v>
      </c>
    </row>
    <row r="881" spans="1:4">
      <c r="A881" s="8">
        <v>2</v>
      </c>
      <c r="B881" s="9">
        <v>4.7965613831028528E-2</v>
      </c>
      <c r="C881" s="8">
        <v>4.7528517110266157E-2</v>
      </c>
      <c r="D881" s="8">
        <v>4.8402710551790899E-2</v>
      </c>
    </row>
    <row r="882" spans="1:4">
      <c r="A882" s="8">
        <v>3</v>
      </c>
      <c r="B882" s="9">
        <v>4.7979289515317131E-2</v>
      </c>
      <c r="C882" s="8">
        <v>4.7058823529411764E-2</v>
      </c>
      <c r="D882" s="8">
        <v>4.8899755501222497E-2</v>
      </c>
    </row>
    <row r="883" spans="1:4">
      <c r="A883" s="8">
        <v>4</v>
      </c>
      <c r="B883" s="9">
        <v>4.897389849499996E-2</v>
      </c>
      <c r="C883" s="8">
        <v>4.8638132295719845E-2</v>
      </c>
      <c r="D883" s="8">
        <v>4.9309664694280074E-2</v>
      </c>
    </row>
    <row r="884" spans="1:4">
      <c r="A884" s="8">
        <v>5</v>
      </c>
      <c r="B884" s="9">
        <v>4.9202662681069431E-2</v>
      </c>
      <c r="C884" s="8">
        <v>4.8875855327468229E-2</v>
      </c>
      <c r="D884" s="8">
        <v>4.9529470034670627E-2</v>
      </c>
    </row>
    <row r="885" spans="1:4">
      <c r="A885" s="8">
        <v>6</v>
      </c>
      <c r="B885" s="9">
        <v>4.8976294705859222E-2</v>
      </c>
      <c r="C885" s="8">
        <v>4.849660523763337E-2</v>
      </c>
      <c r="D885" s="8">
        <v>4.9455984174085067E-2</v>
      </c>
    </row>
    <row r="886" spans="1:4">
      <c r="A886" s="8">
        <v>7</v>
      </c>
      <c r="B886" s="9">
        <v>4.8497335233713877E-2</v>
      </c>
      <c r="C886" s="8">
        <v>4.8309178743961352E-2</v>
      </c>
      <c r="D886" s="8">
        <v>4.8685491723466402E-2</v>
      </c>
    </row>
    <row r="887" spans="1:4">
      <c r="A887" s="8">
        <v>8</v>
      </c>
      <c r="B887" s="9">
        <v>4.8888155944971846E-2</v>
      </c>
      <c r="C887" s="8">
        <v>4.8756704046806439E-2</v>
      </c>
      <c r="D887" s="8">
        <v>4.9019607843137254E-2</v>
      </c>
    </row>
    <row r="888" spans="1:4">
      <c r="A888" s="8">
        <v>9</v>
      </c>
      <c r="B888" s="9">
        <v>4.9664199485356587E-2</v>
      </c>
      <c r="C888" s="8">
        <v>4.8899755501222497E-2</v>
      </c>
      <c r="D888" s="8">
        <v>5.0428643469490671E-2</v>
      </c>
    </row>
    <row r="889" spans="1:4">
      <c r="A889" s="8">
        <v>10</v>
      </c>
      <c r="B889" s="9">
        <v>5.0138134393830081E-2</v>
      </c>
      <c r="C889" s="8">
        <v>5.0025012506253123E-2</v>
      </c>
      <c r="D889" s="8">
        <v>5.0251256281407038E-2</v>
      </c>
    </row>
    <row r="890" spans="1:4">
      <c r="A890" s="8">
        <v>11</v>
      </c>
      <c r="B890" s="9">
        <v>5.2674409592665998E-2</v>
      </c>
      <c r="C890" s="8">
        <v>5.0100200400801605E-2</v>
      </c>
      <c r="D890" s="8">
        <v>5.5248618784530384E-2</v>
      </c>
    </row>
    <row r="891" spans="1:4">
      <c r="A891" s="8">
        <v>12</v>
      </c>
      <c r="B891" s="9">
        <v>5.2496474528468187E-2</v>
      </c>
      <c r="C891" s="8">
        <v>5.1229508196721313E-2</v>
      </c>
      <c r="D891" s="8">
        <v>5.3763440860215055E-2</v>
      </c>
    </row>
    <row r="892" spans="1:4">
      <c r="A892" s="8">
        <v>1826</v>
      </c>
      <c r="B892" s="9">
        <v>5.1135222861732027E-2</v>
      </c>
      <c r="C892" s="8">
        <v>5.040322580645161E-2</v>
      </c>
      <c r="D892" s="8">
        <v>5.1867219917012444E-2</v>
      </c>
    </row>
    <row r="893" spans="1:4">
      <c r="A893" s="8">
        <v>2</v>
      </c>
      <c r="B893" s="9">
        <v>5.0928379761829443E-2</v>
      </c>
      <c r="C893" s="8">
        <v>5.0150451354062188E-2</v>
      </c>
      <c r="D893" s="8">
        <v>5.170630816959669E-2</v>
      </c>
    </row>
    <row r="894" spans="1:4">
      <c r="A894" s="8">
        <v>3</v>
      </c>
      <c r="B894" s="9">
        <v>5.1333295747753693E-2</v>
      </c>
      <c r="C894" s="8">
        <v>5.0556117290192111E-2</v>
      </c>
      <c r="D894" s="8">
        <v>5.2110474205315269E-2</v>
      </c>
    </row>
    <row r="895" spans="1:4">
      <c r="A895" s="8">
        <v>4</v>
      </c>
      <c r="B895" s="9">
        <v>5.1695461488551371E-2</v>
      </c>
      <c r="C895" s="8">
        <v>5.1334702258726897E-2</v>
      </c>
      <c r="D895" s="8">
        <v>5.2056220718375845E-2</v>
      </c>
    </row>
    <row r="896" spans="1:4">
      <c r="A896" s="8">
        <v>5</v>
      </c>
      <c r="B896" s="9">
        <v>5.1856313509530967E-2</v>
      </c>
      <c r="C896" s="8">
        <v>5.1493305870236872E-2</v>
      </c>
      <c r="D896" s="8">
        <v>5.2219321148825062E-2</v>
      </c>
    </row>
    <row r="897" spans="1:4">
      <c r="A897" s="8">
        <v>6</v>
      </c>
      <c r="B897" s="9">
        <v>5.123295034603239E-2</v>
      </c>
      <c r="C897" s="8">
        <v>5.08130081300813E-2</v>
      </c>
      <c r="D897" s="8">
        <v>5.1652892561983473E-2</v>
      </c>
    </row>
    <row r="898" spans="1:4">
      <c r="A898" s="8">
        <v>7</v>
      </c>
      <c r="B898" s="9">
        <v>5.0432349949135306E-2</v>
      </c>
      <c r="C898" s="8">
        <v>0.05</v>
      </c>
      <c r="D898" s="8">
        <v>5.0864699898270603E-2</v>
      </c>
    </row>
    <row r="899" spans="1:4">
      <c r="A899" s="8">
        <v>8</v>
      </c>
      <c r="B899" s="9">
        <v>4.9739759992360293E-2</v>
      </c>
      <c r="C899" s="8">
        <v>4.9529470034670627E-2</v>
      </c>
      <c r="D899" s="8">
        <v>4.9950049950049952E-2</v>
      </c>
    </row>
    <row r="900" spans="1:4">
      <c r="A900" s="8">
        <v>9</v>
      </c>
      <c r="B900" s="9">
        <v>5.0394409241699967E-2</v>
      </c>
      <c r="C900" s="8">
        <v>4.9480455220188027E-2</v>
      </c>
      <c r="D900" s="8">
        <v>5.1308363263211899E-2</v>
      </c>
    </row>
    <row r="901" spans="1:4">
      <c r="A901" s="8">
        <v>10</v>
      </c>
      <c r="B901" s="9">
        <v>5.0714164476425114E-2</v>
      </c>
      <c r="C901" s="8">
        <v>5.0251256281407038E-2</v>
      </c>
      <c r="D901" s="8">
        <v>5.117707267144319E-2</v>
      </c>
    </row>
    <row r="902" spans="1:4">
      <c r="A902" s="8">
        <v>11</v>
      </c>
      <c r="B902" s="9">
        <v>5.0163941851599288E-2</v>
      </c>
      <c r="C902" s="8">
        <v>4.9950049950049952E-2</v>
      </c>
      <c r="D902" s="8">
        <v>5.0377833753148617E-2</v>
      </c>
    </row>
    <row r="903" spans="1:4">
      <c r="A903" s="8">
        <v>12</v>
      </c>
      <c r="B903" s="9">
        <v>5.0601638504864314E-2</v>
      </c>
      <c r="C903" s="8">
        <v>0.05</v>
      </c>
      <c r="D903" s="8">
        <v>5.1203277009728619E-2</v>
      </c>
    </row>
    <row r="904" spans="1:4">
      <c r="A904" s="8">
        <v>1827</v>
      </c>
      <c r="B904" s="9">
        <v>5.0179265615243621E-2</v>
      </c>
      <c r="C904" s="8">
        <v>4.975124378109453E-2</v>
      </c>
      <c r="D904" s="8">
        <v>5.0607287449392711E-2</v>
      </c>
    </row>
    <row r="905" spans="1:4">
      <c r="A905" s="8">
        <v>2</v>
      </c>
      <c r="B905" s="9">
        <v>4.9506163762468448E-2</v>
      </c>
      <c r="C905" s="8">
        <v>4.9261083743842367E-2</v>
      </c>
      <c r="D905" s="8">
        <v>4.975124378109453E-2</v>
      </c>
    </row>
    <row r="906" spans="1:4">
      <c r="A906" s="8">
        <v>3</v>
      </c>
      <c r="B906" s="9">
        <v>4.9987009872496907E-2</v>
      </c>
      <c r="C906" s="8">
        <v>4.9212598425196853E-2</v>
      </c>
      <c r="D906" s="8">
        <v>5.0761421319796954E-2</v>
      </c>
    </row>
    <row r="907" spans="1:4">
      <c r="A907" s="8">
        <v>4</v>
      </c>
      <c r="B907" s="9">
        <v>4.9878103388228276E-2</v>
      </c>
      <c r="C907" s="8">
        <v>4.9504950495049507E-2</v>
      </c>
      <c r="D907" s="8">
        <v>5.0251256281407038E-2</v>
      </c>
    </row>
    <row r="908" spans="1:4">
      <c r="A908" s="8">
        <v>5</v>
      </c>
      <c r="B908" s="9">
        <v>4.9826612326612327E-2</v>
      </c>
      <c r="C908" s="8">
        <v>4.9603174603174607E-2</v>
      </c>
      <c r="D908" s="8">
        <v>5.0050050050050046E-2</v>
      </c>
    </row>
    <row r="909" spans="1:4">
      <c r="A909" s="8">
        <v>6</v>
      </c>
      <c r="B909" s="9">
        <v>4.9217366367099551E-2</v>
      </c>
      <c r="C909" s="8">
        <v>4.8732943469785579E-2</v>
      </c>
      <c r="D909" s="8">
        <v>4.9701789264413522E-2</v>
      </c>
    </row>
    <row r="910" spans="1:4">
      <c r="A910" s="8">
        <v>7</v>
      </c>
      <c r="B910" s="9">
        <v>4.8532941395383895E-2</v>
      </c>
      <c r="C910" s="8">
        <v>4.8309178743961352E-2</v>
      </c>
      <c r="D910" s="8">
        <v>4.8756704046806439E-2</v>
      </c>
    </row>
    <row r="911" spans="1:4">
      <c r="A911" s="8">
        <v>8</v>
      </c>
      <c r="B911" s="9">
        <v>4.8196812088643112E-2</v>
      </c>
      <c r="C911" s="8">
        <v>4.775549188156638E-2</v>
      </c>
      <c r="D911" s="8">
        <v>4.8638132295719845E-2</v>
      </c>
    </row>
    <row r="912" spans="1:4">
      <c r="A912" s="8">
        <v>9</v>
      </c>
      <c r="B912" s="9">
        <v>4.8578277323216595E-2</v>
      </c>
      <c r="C912" s="8">
        <v>4.784688995215311E-2</v>
      </c>
      <c r="D912" s="8">
        <v>4.9309664694280074E-2</v>
      </c>
    </row>
    <row r="913" spans="1:4">
      <c r="A913" s="8">
        <v>10</v>
      </c>
      <c r="B913" s="9">
        <v>4.9177156261713886E-2</v>
      </c>
      <c r="C913" s="8">
        <v>4.8971596474045059E-2</v>
      </c>
      <c r="D913" s="8">
        <v>4.9382716049382713E-2</v>
      </c>
    </row>
    <row r="914" spans="1:4">
      <c r="A914" s="8">
        <v>11</v>
      </c>
      <c r="B914" s="9">
        <v>4.9611426377726052E-2</v>
      </c>
      <c r="C914" s="8">
        <v>4.8971596474045059E-2</v>
      </c>
      <c r="D914" s="8">
        <v>5.0251256281407038E-2</v>
      </c>
    </row>
    <row r="915" spans="1:4">
      <c r="A915" s="8">
        <v>12</v>
      </c>
      <c r="B915" s="9">
        <v>4.9397807903649268E-2</v>
      </c>
      <c r="C915" s="8">
        <v>4.9019607843137254E-2</v>
      </c>
      <c r="D915" s="8">
        <v>4.9776007964161276E-2</v>
      </c>
    </row>
    <row r="916" spans="1:4">
      <c r="A916" s="8">
        <v>1828</v>
      </c>
      <c r="B916" s="9">
        <v>4.8588376083708439E-2</v>
      </c>
      <c r="C916" s="8">
        <v>4.791566842357451E-2</v>
      </c>
      <c r="D916" s="8">
        <v>4.9261083743842367E-2</v>
      </c>
    </row>
    <row r="917" spans="1:4">
      <c r="A917" s="8">
        <v>2</v>
      </c>
      <c r="B917" s="9">
        <v>4.8101928889662186E-2</v>
      </c>
      <c r="C917" s="8">
        <v>4.7801147227533466E-2</v>
      </c>
      <c r="D917" s="8">
        <v>4.8402710551790899E-2</v>
      </c>
    </row>
    <row r="918" spans="1:4">
      <c r="A918" s="8">
        <v>3</v>
      </c>
      <c r="B918" s="9">
        <v>4.8589729427082597E-2</v>
      </c>
      <c r="C918" s="8">
        <v>4.7869794159885112E-2</v>
      </c>
      <c r="D918" s="8">
        <v>4.9309664694280074E-2</v>
      </c>
    </row>
    <row r="919" spans="1:4">
      <c r="A919" s="8">
        <v>4</v>
      </c>
      <c r="B919" s="9">
        <v>4.9022258268000364E-2</v>
      </c>
      <c r="C919" s="8">
        <v>4.8661800486618008E-2</v>
      </c>
      <c r="D919" s="8">
        <v>4.9382716049382713E-2</v>
      </c>
    </row>
    <row r="920" spans="1:4">
      <c r="A920" s="8">
        <v>5</v>
      </c>
      <c r="B920" s="9">
        <v>4.8544833274419705E-2</v>
      </c>
      <c r="C920" s="8">
        <v>4.8309178743961352E-2</v>
      </c>
      <c r="D920" s="8">
        <v>4.878048780487805E-2</v>
      </c>
    </row>
    <row r="921" spans="1:4">
      <c r="A921" s="8">
        <v>6</v>
      </c>
      <c r="B921" s="9">
        <v>4.7809711861927749E-2</v>
      </c>
      <c r="C921" s="8">
        <v>4.716981132075472E-2</v>
      </c>
      <c r="D921" s="8">
        <v>4.8449612403100771E-2</v>
      </c>
    </row>
    <row r="922" spans="1:4">
      <c r="A922" s="8">
        <v>7</v>
      </c>
      <c r="B922" s="9">
        <v>4.7740049845625313E-2</v>
      </c>
      <c r="C922" s="8">
        <v>4.7147571900047147E-2</v>
      </c>
      <c r="D922" s="8">
        <v>4.8332527791203478E-2</v>
      </c>
    </row>
    <row r="923" spans="1:4">
      <c r="A923" s="8">
        <v>8</v>
      </c>
      <c r="B923" s="9">
        <v>4.6755324729828976E-2</v>
      </c>
      <c r="C923" s="8">
        <v>4.6296296296296294E-2</v>
      </c>
      <c r="D923" s="8">
        <v>4.7214353163361658E-2</v>
      </c>
    </row>
    <row r="924" spans="1:4">
      <c r="A924" s="8">
        <v>9</v>
      </c>
      <c r="B924" s="9">
        <v>4.6610022240756187E-2</v>
      </c>
      <c r="C924" s="8">
        <v>4.5871559633027525E-2</v>
      </c>
      <c r="D924" s="8">
        <v>4.7348484848484848E-2</v>
      </c>
    </row>
    <row r="925" spans="1:4">
      <c r="A925" s="8">
        <v>10</v>
      </c>
      <c r="B925" s="9">
        <v>4.7350565471573069E-2</v>
      </c>
      <c r="C925" s="8">
        <v>4.7036688617121354E-2</v>
      </c>
      <c r="D925" s="8">
        <v>4.7664442326024785E-2</v>
      </c>
    </row>
    <row r="926" spans="1:4">
      <c r="A926" s="8">
        <v>11</v>
      </c>
      <c r="B926" s="9">
        <v>4.7272686643873879E-2</v>
      </c>
      <c r="C926" s="8">
        <v>4.6926325668700142E-2</v>
      </c>
      <c r="D926" s="8">
        <v>4.7619047619047616E-2</v>
      </c>
    </row>
    <row r="927" spans="1:4">
      <c r="A927" s="8">
        <v>12</v>
      </c>
      <c r="B927" s="9">
        <v>4.6675017700560976E-2</v>
      </c>
      <c r="C927" s="8">
        <v>4.6511627906976744E-2</v>
      </c>
      <c r="D927" s="8">
        <v>4.6838407494145202E-2</v>
      </c>
    </row>
    <row r="928" spans="1:4">
      <c r="A928" s="8">
        <v>1829</v>
      </c>
      <c r="B928" s="9">
        <v>4.6195536209618915E-2</v>
      </c>
      <c r="C928" s="8">
        <v>4.5662100456621002E-2</v>
      </c>
      <c r="D928" s="8">
        <v>4.6728971962616821E-2</v>
      </c>
    </row>
    <row r="929" spans="1:4">
      <c r="A929" s="8">
        <v>2</v>
      </c>
      <c r="B929" s="9">
        <v>4.5455484617450775E-2</v>
      </c>
      <c r="C929" s="8">
        <v>4.5248868778280542E-2</v>
      </c>
      <c r="D929" s="8">
        <v>4.5662100456621002E-2</v>
      </c>
    </row>
    <row r="930" spans="1:4">
      <c r="A930" s="8">
        <v>3</v>
      </c>
      <c r="B930" s="9">
        <v>4.589292535129829E-2</v>
      </c>
      <c r="C930" s="8">
        <v>4.5187528242205149E-2</v>
      </c>
      <c r="D930" s="8">
        <v>4.6598322460391424E-2</v>
      </c>
    </row>
    <row r="931" spans="1:4">
      <c r="A931" s="8">
        <v>4</v>
      </c>
      <c r="B931" s="9">
        <v>4.624615916291993E-2</v>
      </c>
      <c r="C931" s="8">
        <v>4.5850527281063737E-2</v>
      </c>
      <c r="D931" s="8">
        <v>4.6641791044776115E-2</v>
      </c>
    </row>
    <row r="932" spans="1:4">
      <c r="A932" s="8">
        <v>5</v>
      </c>
      <c r="B932" s="9">
        <v>4.6568866625464875E-2</v>
      </c>
      <c r="C932" s="8">
        <v>4.6189376443418015E-2</v>
      </c>
      <c r="D932" s="8">
        <v>4.6948356807511735E-2</v>
      </c>
    </row>
    <row r="933" spans="1:4">
      <c r="A933" s="8">
        <v>6</v>
      </c>
      <c r="B933" s="9">
        <v>4.6043336276404168E-2</v>
      </c>
      <c r="C933" s="8">
        <v>4.5682960255824578E-2</v>
      </c>
      <c r="D933" s="8">
        <v>4.6403712296983757E-2</v>
      </c>
    </row>
    <row r="934" spans="1:4">
      <c r="A934" s="8">
        <v>7</v>
      </c>
      <c r="B934" s="9">
        <v>4.5673387820151783E-2</v>
      </c>
      <c r="C934" s="8">
        <v>4.5475216007276033E-2</v>
      </c>
      <c r="D934" s="8">
        <v>4.5871559633027525E-2</v>
      </c>
    </row>
    <row r="935" spans="1:4">
      <c r="A935" s="8">
        <v>8</v>
      </c>
      <c r="B935" s="9">
        <v>4.584406670810811E-2</v>
      </c>
      <c r="C935" s="8">
        <v>4.5413260672116262E-2</v>
      </c>
      <c r="D935" s="8">
        <v>4.6274872744099957E-2</v>
      </c>
    </row>
    <row r="936" spans="1:4">
      <c r="A936" s="8">
        <v>9</v>
      </c>
      <c r="B936" s="9">
        <v>4.6157450796626059E-2</v>
      </c>
      <c r="C936" s="8">
        <v>4.5454545454545456E-2</v>
      </c>
      <c r="D936" s="8">
        <v>4.6860356138706656E-2</v>
      </c>
    </row>
    <row r="937" spans="1:4">
      <c r="A937" s="8">
        <v>10</v>
      </c>
      <c r="B937" s="9">
        <v>4.6395347335523057E-2</v>
      </c>
      <c r="C937" s="8">
        <v>4.6061722708429294E-2</v>
      </c>
      <c r="D937" s="8">
        <v>4.6728971962616821E-2</v>
      </c>
    </row>
    <row r="938" spans="1:4">
      <c r="A938" s="8">
        <v>11</v>
      </c>
      <c r="B938" s="9">
        <v>4.5999133337395817E-2</v>
      </c>
      <c r="C938" s="8">
        <v>4.5787545787545784E-2</v>
      </c>
      <c r="D938" s="8">
        <v>4.6210720887245843E-2</v>
      </c>
    </row>
    <row r="939" spans="1:4">
      <c r="A939" s="8">
        <v>12</v>
      </c>
      <c r="B939" s="9">
        <v>4.5939047303924466E-2</v>
      </c>
      <c r="C939" s="8">
        <v>4.5495905368516831E-2</v>
      </c>
      <c r="D939" s="8">
        <v>4.63821892393321E-2</v>
      </c>
    </row>
    <row r="940" spans="1:4">
      <c r="A940" s="8">
        <v>1830</v>
      </c>
      <c r="B940" s="9">
        <v>4.612711978902375E-2</v>
      </c>
      <c r="C940" s="8">
        <v>4.5850527281063737E-2</v>
      </c>
      <c r="D940" s="8">
        <v>4.6403712296983757E-2</v>
      </c>
    </row>
    <row r="941" spans="1:4">
      <c r="A941" s="8">
        <v>2</v>
      </c>
      <c r="B941" s="9">
        <v>4.5799781436353305E-2</v>
      </c>
      <c r="C941" s="8">
        <v>4.5516613563950842E-2</v>
      </c>
      <c r="D941" s="8">
        <v>4.6082949308755762E-2</v>
      </c>
    </row>
    <row r="942" spans="1:4">
      <c r="A942" s="8">
        <v>3</v>
      </c>
      <c r="B942" s="9">
        <v>4.6661443370766956E-2</v>
      </c>
      <c r="C942" s="8">
        <v>4.5703839122486288E-2</v>
      </c>
      <c r="D942" s="8">
        <v>4.7619047619047616E-2</v>
      </c>
    </row>
    <row r="943" spans="1:4">
      <c r="A943" s="8">
        <v>4</v>
      </c>
      <c r="B943" s="9">
        <v>4.7148420827998291E-2</v>
      </c>
      <c r="C943" s="8">
        <v>4.6948356807511735E-2</v>
      </c>
      <c r="D943" s="8">
        <v>4.7348484848484848E-2</v>
      </c>
    </row>
    <row r="944" spans="1:4">
      <c r="A944" s="8">
        <v>5</v>
      </c>
      <c r="B944" s="9">
        <v>4.7599499038494648E-2</v>
      </c>
      <c r="C944" s="8">
        <v>4.7214353163361658E-2</v>
      </c>
      <c r="D944" s="8">
        <v>4.7984644913627639E-2</v>
      </c>
    </row>
    <row r="945" spans="1:4">
      <c r="A945" s="8">
        <v>6</v>
      </c>
      <c r="B945" s="9">
        <v>4.8222465065451421E-2</v>
      </c>
      <c r="C945" s="8">
        <v>4.7664442326024785E-2</v>
      </c>
      <c r="D945" s="8">
        <v>4.878048780487805E-2</v>
      </c>
    </row>
    <row r="946" spans="1:4">
      <c r="A946" s="8">
        <v>7</v>
      </c>
      <c r="B946" s="9">
        <v>4.8781937017231138E-2</v>
      </c>
      <c r="C946" s="8">
        <v>4.7058823529411764E-2</v>
      </c>
      <c r="D946" s="8">
        <v>5.0505050505050504E-2</v>
      </c>
    </row>
    <row r="947" spans="1:4">
      <c r="A947" s="8">
        <v>8</v>
      </c>
      <c r="B947" s="9">
        <v>4.8877745940783195E-2</v>
      </c>
      <c r="C947" s="8">
        <v>4.775549188156638E-2</v>
      </c>
      <c r="D947" s="8">
        <v>0.05</v>
      </c>
    </row>
    <row r="948" spans="1:4">
      <c r="A948" s="8">
        <v>9</v>
      </c>
      <c r="B948" s="9">
        <v>5.1328502415458936E-2</v>
      </c>
      <c r="C948" s="8">
        <v>4.8309178743961352E-2</v>
      </c>
      <c r="D948" s="8">
        <v>5.434782608695652E-2</v>
      </c>
    </row>
    <row r="949" spans="1:4">
      <c r="A949" s="8">
        <v>10</v>
      </c>
      <c r="B949" s="9">
        <v>5.24221909618428E-2</v>
      </c>
      <c r="C949" s="8">
        <v>5.1652892561983473E-2</v>
      </c>
      <c r="D949" s="8">
        <v>5.3191489361702128E-2</v>
      </c>
    </row>
    <row r="950" spans="1:4">
      <c r="A950" s="8">
        <v>11</v>
      </c>
      <c r="B950" s="9">
        <v>5.3684513529073115E-2</v>
      </c>
      <c r="C950" s="8">
        <v>5.181347150259067E-2</v>
      </c>
      <c r="D950" s="8">
        <v>5.5555555555555552E-2</v>
      </c>
    </row>
    <row r="951" spans="1:4">
      <c r="A951" s="8">
        <v>12</v>
      </c>
      <c r="B951" s="9">
        <v>5.6181543497419113E-2</v>
      </c>
      <c r="C951" s="8">
        <v>5.3191489361702128E-2</v>
      </c>
      <c r="D951" s="8">
        <v>5.9171597633136092E-2</v>
      </c>
    </row>
    <row r="952" spans="1:4">
      <c r="A952" s="8">
        <v>1831</v>
      </c>
      <c r="B952" s="9">
        <v>5.3805455219042328E-2</v>
      </c>
      <c r="C952" s="8">
        <v>5.2966101694915252E-2</v>
      </c>
      <c r="D952" s="8">
        <v>5.4644808743169397E-2</v>
      </c>
    </row>
    <row r="953" spans="1:4">
      <c r="A953" s="8">
        <v>2</v>
      </c>
      <c r="B953" s="9">
        <v>5.4571213424488743E-2</v>
      </c>
      <c r="C953" s="8">
        <v>5.3276505061267986E-2</v>
      </c>
      <c r="D953" s="8">
        <v>5.5865921787709494E-2</v>
      </c>
    </row>
    <row r="954" spans="1:4">
      <c r="A954" s="8">
        <v>3</v>
      </c>
      <c r="B954" s="9">
        <v>6.0192095996126953E-2</v>
      </c>
      <c r="C954" s="8">
        <v>5.5617352614015569E-2</v>
      </c>
      <c r="D954" s="8">
        <v>6.4766839378238336E-2</v>
      </c>
    </row>
    <row r="955" spans="1:4">
      <c r="A955" s="8">
        <v>4</v>
      </c>
      <c r="B955" s="9">
        <v>6.1433664374840852E-2</v>
      </c>
      <c r="C955" s="8">
        <v>5.6022408963585436E-2</v>
      </c>
      <c r="D955" s="8">
        <v>6.684491978609626E-2</v>
      </c>
    </row>
    <row r="956" spans="1:4">
      <c r="A956" s="8">
        <v>5</v>
      </c>
      <c r="B956" s="9">
        <v>5.5700164234142112E-2</v>
      </c>
      <c r="C956" s="8">
        <v>5.3763440860215055E-2</v>
      </c>
      <c r="D956" s="8">
        <v>5.7636887608069162E-2</v>
      </c>
    </row>
    <row r="957" spans="1:4">
      <c r="A957" s="8">
        <v>6</v>
      </c>
      <c r="B957" s="9">
        <v>5.577262170160871E-2</v>
      </c>
      <c r="C957" s="8">
        <v>5.3908355795148251E-2</v>
      </c>
      <c r="D957" s="8">
        <v>5.7636887608069162E-2</v>
      </c>
    </row>
    <row r="958" spans="1:4">
      <c r="A958" s="8">
        <v>7</v>
      </c>
      <c r="B958" s="9">
        <v>5.7612554327991769E-2</v>
      </c>
      <c r="C958" s="8">
        <v>5.6401579244218833E-2</v>
      </c>
      <c r="D958" s="8">
        <v>5.8823529411764705E-2</v>
      </c>
    </row>
    <row r="959" spans="1:4">
      <c r="A959" s="8">
        <v>8</v>
      </c>
      <c r="B959" s="9">
        <v>5.9027777777777776E-2</v>
      </c>
      <c r="C959" s="8">
        <v>5.5555555555555552E-2</v>
      </c>
      <c r="D959" s="8">
        <v>6.25E-2</v>
      </c>
    </row>
    <row r="960" spans="1:4">
      <c r="A960" s="8">
        <v>9</v>
      </c>
      <c r="B960" s="9">
        <v>5.6615246751584206E-2</v>
      </c>
      <c r="C960" s="8">
        <v>5.4406964091403699E-2</v>
      </c>
      <c r="D960" s="8">
        <v>5.8823529411764705E-2</v>
      </c>
    </row>
    <row r="961" spans="1:4">
      <c r="A961" s="8">
        <v>10</v>
      </c>
      <c r="B961" s="9">
        <v>5.5059145448161463E-2</v>
      </c>
      <c r="C961" s="8">
        <v>5.2910052910052907E-2</v>
      </c>
      <c r="D961" s="8">
        <v>5.7208237986270019E-2</v>
      </c>
    </row>
    <row r="962" spans="1:4">
      <c r="A962" s="8">
        <v>11</v>
      </c>
      <c r="B962" s="9">
        <v>5.254577154914928E-2</v>
      </c>
      <c r="C962" s="8">
        <v>5.178663904712584E-2</v>
      </c>
      <c r="D962" s="8">
        <v>5.3304904051172712E-2</v>
      </c>
    </row>
    <row r="963" spans="1:4">
      <c r="A963" s="8">
        <v>12</v>
      </c>
      <c r="B963" s="9">
        <v>5.1481654195900547E-2</v>
      </c>
      <c r="C963" s="8">
        <v>5.0607287449392711E-2</v>
      </c>
      <c r="D963" s="8">
        <v>5.2356020942408377E-2</v>
      </c>
    </row>
    <row r="964" spans="1:4">
      <c r="A964" s="8">
        <v>1832</v>
      </c>
      <c r="B964" s="9">
        <v>5.2947108919766922E-2</v>
      </c>
      <c r="C964" s="8">
        <v>5.1546391752577317E-2</v>
      </c>
      <c r="D964" s="8">
        <v>5.434782608695652E-2</v>
      </c>
    </row>
    <row r="965" spans="1:4">
      <c r="A965" s="8">
        <v>2</v>
      </c>
      <c r="B965" s="9">
        <v>5.174315266505343E-2</v>
      </c>
      <c r="C965" s="8">
        <v>5.1020408163265307E-2</v>
      </c>
      <c r="D965" s="8">
        <v>5.2465897166841552E-2</v>
      </c>
    </row>
    <row r="966" spans="1:4">
      <c r="A966" s="8">
        <v>3</v>
      </c>
      <c r="B966" s="9">
        <v>5.1594519509568608E-2</v>
      </c>
      <c r="C966" s="8">
        <v>5.094243504839531E-2</v>
      </c>
      <c r="D966" s="8">
        <v>5.2246603970741899E-2</v>
      </c>
    </row>
    <row r="967" spans="1:4">
      <c r="A967" s="8">
        <v>4</v>
      </c>
      <c r="B967" s="9">
        <v>5.2090172429322859E-2</v>
      </c>
      <c r="C967" s="8">
        <v>5.1493305870236872E-2</v>
      </c>
      <c r="D967" s="8">
        <v>5.2687038988408846E-2</v>
      </c>
    </row>
    <row r="968" spans="1:4">
      <c r="A968" s="8">
        <v>5</v>
      </c>
      <c r="B968" s="9">
        <v>5.2770507329252599E-2</v>
      </c>
      <c r="C968" s="8">
        <v>5.2714812862414341E-2</v>
      </c>
      <c r="D968" s="8">
        <v>5.2826201796090856E-2</v>
      </c>
    </row>
    <row r="969" spans="1:4">
      <c r="A969" s="8">
        <v>6</v>
      </c>
      <c r="B969" s="9">
        <v>5.1272143230789047E-2</v>
      </c>
      <c r="C969" s="8">
        <v>5.0864699898270603E-2</v>
      </c>
      <c r="D969" s="8">
        <v>5.1679586563307491E-2</v>
      </c>
    </row>
    <row r="970" spans="1:4">
      <c r="A970" s="8">
        <v>7</v>
      </c>
      <c r="B970" s="9">
        <v>5.1211668603602281E-2</v>
      </c>
      <c r="C970" s="8">
        <v>5.0556117290192111E-2</v>
      </c>
      <c r="D970" s="8">
        <v>5.1867219917012444E-2</v>
      </c>
    </row>
    <row r="971" spans="1:4">
      <c r="A971" s="8">
        <v>8</v>
      </c>
      <c r="B971" s="9">
        <v>5.0442776899676252E-2</v>
      </c>
      <c r="C971" s="8">
        <v>5.0175614651279475E-2</v>
      </c>
      <c r="D971" s="8">
        <v>5.0709939148073029E-2</v>
      </c>
    </row>
    <row r="972" spans="1:4">
      <c r="A972" s="8">
        <v>9</v>
      </c>
      <c r="B972" s="9">
        <v>5.1253236148235286E-2</v>
      </c>
      <c r="C972" s="8">
        <v>5.0150451354062188E-2</v>
      </c>
      <c r="D972" s="8">
        <v>5.2356020942408377E-2</v>
      </c>
    </row>
    <row r="973" spans="1:4">
      <c r="A973" s="8">
        <v>10</v>
      </c>
      <c r="B973" s="9">
        <v>5.2195706657949224E-2</v>
      </c>
      <c r="C973" s="8">
        <v>5.1759834368530024E-2</v>
      </c>
      <c r="D973" s="8">
        <v>5.2631578947368418E-2</v>
      </c>
    </row>
    <row r="974" spans="1:4">
      <c r="A974" s="8">
        <v>11</v>
      </c>
      <c r="B974" s="9">
        <v>5.1990758159589333E-2</v>
      </c>
      <c r="C974" s="8">
        <v>5.1652892561983473E-2</v>
      </c>
      <c r="D974" s="8">
        <v>5.2328623757195186E-2</v>
      </c>
    </row>
    <row r="975" spans="1:4">
      <c r="A975" s="8">
        <v>12</v>
      </c>
      <c r="B975" s="9">
        <v>5.1038596376103418E-2</v>
      </c>
      <c r="C975" s="8">
        <v>5.007511266900351E-2</v>
      </c>
      <c r="D975" s="8">
        <v>5.2002080083203325E-2</v>
      </c>
    </row>
    <row r="976" spans="1:4">
      <c r="A976" s="8">
        <v>1833</v>
      </c>
      <c r="B976" s="9">
        <v>4.9219081456913873E-2</v>
      </c>
      <c r="C976" s="8">
        <v>4.8262548262548263E-2</v>
      </c>
      <c r="D976" s="8">
        <v>5.0175614651279475E-2</v>
      </c>
    </row>
    <row r="977" spans="1:4">
      <c r="A977" s="8">
        <v>2</v>
      </c>
      <c r="B977" s="9">
        <v>4.8027582707763979E-2</v>
      </c>
      <c r="C977" s="8">
        <v>4.7393364928909949E-2</v>
      </c>
      <c r="D977" s="8">
        <v>4.8661800486618008E-2</v>
      </c>
    </row>
    <row r="978" spans="1:4">
      <c r="A978" s="8">
        <v>3</v>
      </c>
      <c r="B978" s="9">
        <v>4.8747179669872936E-2</v>
      </c>
      <c r="C978" s="8">
        <v>4.7619047619047616E-2</v>
      </c>
      <c r="D978" s="8">
        <v>4.9875311720698257E-2</v>
      </c>
    </row>
    <row r="979" spans="1:4">
      <c r="A979" s="8">
        <v>4</v>
      </c>
      <c r="B979" s="9">
        <v>4.9423912820467729E-2</v>
      </c>
      <c r="C979" s="8">
        <v>4.8947626040137047E-2</v>
      </c>
      <c r="D979" s="8">
        <v>4.9900199600798403E-2</v>
      </c>
    </row>
    <row r="980" spans="1:4">
      <c r="A980" s="8">
        <v>5</v>
      </c>
      <c r="B980" s="9">
        <v>4.8501168073718015E-2</v>
      </c>
      <c r="C980" s="8">
        <v>4.8030739673390971E-2</v>
      </c>
      <c r="D980" s="8">
        <v>4.8971596474045059E-2</v>
      </c>
    </row>
    <row r="981" spans="1:4">
      <c r="A981" s="8">
        <v>6</v>
      </c>
      <c r="B981" s="9">
        <v>4.8066371098722624E-2</v>
      </c>
      <c r="C981" s="8">
        <v>4.784688995215311E-2</v>
      </c>
      <c r="D981" s="8">
        <v>4.8285852245292131E-2</v>
      </c>
    </row>
    <row r="982" spans="1:4">
      <c r="A982" s="8">
        <v>7</v>
      </c>
      <c r="B982" s="9">
        <v>4.8020007683201235E-2</v>
      </c>
      <c r="C982" s="8">
        <v>4.7824007651841229E-2</v>
      </c>
      <c r="D982" s="8">
        <v>4.8216007714561235E-2</v>
      </c>
    </row>
    <row r="983" spans="1:4">
      <c r="A983" s="8">
        <v>8</v>
      </c>
      <c r="B983" s="9">
        <v>4.7790513794272176E-2</v>
      </c>
      <c r="C983" s="8">
        <v>4.7596382674916705E-2</v>
      </c>
      <c r="D983" s="8">
        <v>4.7984644913627639E-2</v>
      </c>
    </row>
    <row r="984" spans="1:4">
      <c r="A984" s="8">
        <v>9</v>
      </c>
      <c r="B984" s="9">
        <v>4.845302368459839E-2</v>
      </c>
      <c r="C984" s="8">
        <v>4.7596382674916705E-2</v>
      </c>
      <c r="D984" s="8">
        <v>4.9309664694280074E-2</v>
      </c>
    </row>
    <row r="985" spans="1:4">
      <c r="A985" s="8">
        <v>10</v>
      </c>
      <c r="B985" s="9">
        <v>4.9340343702838227E-2</v>
      </c>
      <c r="C985" s="8">
        <v>4.878048780487805E-2</v>
      </c>
      <c r="D985" s="8">
        <v>4.9900199600798403E-2</v>
      </c>
    </row>
    <row r="986" spans="1:4">
      <c r="A986" s="8">
        <v>11</v>
      </c>
      <c r="B986" s="9">
        <v>4.8900924813333572E-2</v>
      </c>
      <c r="C986" s="8">
        <v>4.8661800486618008E-2</v>
      </c>
      <c r="D986" s="8">
        <v>4.9140049140049137E-2</v>
      </c>
    </row>
    <row r="987" spans="1:4">
      <c r="A987" s="8">
        <v>12</v>
      </c>
      <c r="B987" s="9">
        <v>4.8405613739134511E-2</v>
      </c>
      <c r="C987" s="8">
        <v>4.8030739673390971E-2</v>
      </c>
      <c r="D987" s="8">
        <v>4.878048780487805E-2</v>
      </c>
    </row>
    <row r="988" spans="1:4">
      <c r="A988" s="8">
        <v>1834</v>
      </c>
      <c r="B988" s="9">
        <v>4.7746075224745076E-2</v>
      </c>
      <c r="C988" s="8">
        <v>4.7438330170777983E-2</v>
      </c>
      <c r="D988" s="8">
        <v>4.8053820278712162E-2</v>
      </c>
    </row>
    <row r="989" spans="1:4">
      <c r="A989" s="8">
        <v>2</v>
      </c>
      <c r="B989" s="9">
        <v>4.7214395263401938E-2</v>
      </c>
      <c r="C989" s="8">
        <v>4.716981132075472E-2</v>
      </c>
      <c r="D989" s="8">
        <v>4.725897920604915E-2</v>
      </c>
    </row>
    <row r="990" spans="1:4">
      <c r="A990" s="8">
        <v>3</v>
      </c>
      <c r="B990" s="9">
        <v>4.7490619136960607E-2</v>
      </c>
      <c r="C990" s="8">
        <v>4.6904315196998128E-2</v>
      </c>
      <c r="D990" s="8">
        <v>4.807692307692308E-2</v>
      </c>
    </row>
    <row r="991" spans="1:4">
      <c r="A991" s="8">
        <v>4</v>
      </c>
      <c r="B991" s="9">
        <v>4.7940225020293013E-2</v>
      </c>
      <c r="C991" s="8">
        <v>4.7664442326024785E-2</v>
      </c>
      <c r="D991" s="8">
        <v>4.8216007714561235E-2</v>
      </c>
    </row>
    <row r="992" spans="1:4">
      <c r="A992" s="8">
        <v>5</v>
      </c>
      <c r="B992" s="9">
        <v>4.73395084220627E-2</v>
      </c>
      <c r="C992" s="8">
        <v>4.7014574518100614E-2</v>
      </c>
      <c r="D992" s="8">
        <v>4.7664442326024785E-2</v>
      </c>
    </row>
    <row r="993" spans="1:4">
      <c r="A993" s="8">
        <v>6</v>
      </c>
      <c r="B993" s="9">
        <v>4.7126201168472173E-2</v>
      </c>
      <c r="C993" s="8">
        <v>4.6926325668700142E-2</v>
      </c>
      <c r="D993" s="8">
        <v>4.7326076668244198E-2</v>
      </c>
    </row>
    <row r="994" spans="1:4">
      <c r="A994" s="8">
        <v>7</v>
      </c>
      <c r="B994" s="9">
        <v>4.7083651066697402E-2</v>
      </c>
      <c r="C994" s="8">
        <v>4.6728971962616821E-2</v>
      </c>
      <c r="D994" s="8">
        <v>4.7438330170777983E-2</v>
      </c>
    </row>
    <row r="995" spans="1:4">
      <c r="A995" s="8">
        <v>8</v>
      </c>
      <c r="B995" s="9">
        <v>4.749960971586413E-2</v>
      </c>
      <c r="C995" s="8">
        <v>4.7014574518100614E-2</v>
      </c>
      <c r="D995" s="8">
        <v>4.7984644913627639E-2</v>
      </c>
    </row>
    <row r="996" spans="1:4">
      <c r="A996" s="8">
        <v>9</v>
      </c>
      <c r="B996" s="9">
        <v>4.7433485138482834E-2</v>
      </c>
      <c r="C996" s="8">
        <v>4.6882325363338022E-2</v>
      </c>
      <c r="D996" s="8">
        <v>4.7984644913627639E-2</v>
      </c>
    </row>
    <row r="997" spans="1:4">
      <c r="A997" s="8">
        <v>10</v>
      </c>
      <c r="B997" s="9">
        <v>4.7282380885846027E-2</v>
      </c>
      <c r="C997" s="8">
        <v>4.7058823529411764E-2</v>
      </c>
      <c r="D997" s="8">
        <v>4.7505938242280284E-2</v>
      </c>
    </row>
    <row r="998" spans="1:4">
      <c r="A998" s="8">
        <v>11</v>
      </c>
      <c r="B998" s="9">
        <v>4.7215868812112947E-2</v>
      </c>
      <c r="C998" s="8">
        <v>4.6948356807511735E-2</v>
      </c>
      <c r="D998" s="8">
        <v>4.7483380816714153E-2</v>
      </c>
    </row>
    <row r="999" spans="1:4">
      <c r="A999" s="8">
        <v>12</v>
      </c>
      <c r="B999" s="9">
        <v>4.70822420811947E-2</v>
      </c>
      <c r="C999" s="8">
        <v>4.6838407494145202E-2</v>
      </c>
      <c r="D999" s="8">
        <v>4.7326076668244198E-2</v>
      </c>
    </row>
    <row r="1000" spans="1:4">
      <c r="A1000" s="8">
        <v>1835</v>
      </c>
      <c r="B1000" s="9">
        <v>4.6610764164523505E-2</v>
      </c>
      <c r="C1000" s="8">
        <v>4.6339202965708988E-2</v>
      </c>
      <c r="D1000" s="8">
        <v>4.6882325363338022E-2</v>
      </c>
    </row>
    <row r="1001" spans="1:4">
      <c r="A1001" s="8">
        <v>2</v>
      </c>
      <c r="B1001" s="9">
        <v>4.6052896677362502E-2</v>
      </c>
      <c r="C1001" s="8">
        <v>4.5766590389016017E-2</v>
      </c>
      <c r="D1001" s="8">
        <v>4.6339202965708988E-2</v>
      </c>
    </row>
    <row r="1002" spans="1:4">
      <c r="A1002" s="8">
        <v>3</v>
      </c>
      <c r="B1002" s="9">
        <v>4.6261228297663833E-2</v>
      </c>
      <c r="C1002" s="8">
        <v>4.5662100456621002E-2</v>
      </c>
      <c r="D1002" s="8">
        <v>4.6860356138706656E-2</v>
      </c>
    </row>
    <row r="1003" spans="1:4">
      <c r="A1003" s="8">
        <v>4</v>
      </c>
      <c r="B1003" s="9">
        <v>4.64258957352836E-2</v>
      </c>
      <c r="C1003" s="8">
        <v>4.6253469010175768E-2</v>
      </c>
      <c r="D1003" s="8">
        <v>4.6598322460391424E-2</v>
      </c>
    </row>
    <row r="1004" spans="1:4">
      <c r="A1004" s="8">
        <v>5</v>
      </c>
      <c r="B1004" s="9">
        <v>4.6463626912941522E-2</v>
      </c>
      <c r="C1004" s="8">
        <v>4.5934772622875521E-2</v>
      </c>
      <c r="D1004" s="8">
        <v>4.6992481203007516E-2</v>
      </c>
    </row>
    <row r="1005" spans="1:4">
      <c r="A1005" s="8">
        <v>6</v>
      </c>
      <c r="B1005" s="9">
        <v>4.6406600202940046E-2</v>
      </c>
      <c r="C1005" s="8">
        <v>4.6040515653775323E-2</v>
      </c>
      <c r="D1005" s="8">
        <v>4.6772684752104769E-2</v>
      </c>
    </row>
    <row r="1006" spans="1:4">
      <c r="A1006" s="8">
        <v>7</v>
      </c>
      <c r="B1006" s="9">
        <v>4.6031443342656159E-2</v>
      </c>
      <c r="C1006" s="8">
        <v>4.5766590389016017E-2</v>
      </c>
      <c r="D1006" s="8">
        <v>4.6296296296296294E-2</v>
      </c>
    </row>
    <row r="1007" spans="1:4">
      <c r="A1007" s="8">
        <v>8</v>
      </c>
      <c r="B1007" s="9">
        <v>4.5820287060686846E-2</v>
      </c>
      <c r="C1007" s="8">
        <v>4.5578851412944391E-2</v>
      </c>
      <c r="D1007" s="8">
        <v>4.6061722708429294E-2</v>
      </c>
    </row>
    <row r="1008" spans="1:4">
      <c r="A1008" s="8">
        <v>9</v>
      </c>
      <c r="B1008" s="9">
        <v>4.5989649294509605E-2</v>
      </c>
      <c r="C1008" s="8">
        <v>4.529395778603134E-2</v>
      </c>
      <c r="D1008" s="8">
        <v>4.6685340802987862E-2</v>
      </c>
    </row>
    <row r="1009" spans="1:4">
      <c r="A1009" s="8">
        <v>10</v>
      </c>
      <c r="B1009" s="9">
        <v>4.6041306174050133E-2</v>
      </c>
      <c r="C1009" s="8">
        <v>4.5850527281063737E-2</v>
      </c>
      <c r="D1009" s="8">
        <v>4.6232085067036521E-2</v>
      </c>
    </row>
    <row r="1010" spans="1:4">
      <c r="A1010" s="8">
        <v>11</v>
      </c>
      <c r="B1010" s="9">
        <v>4.603046803822277E-2</v>
      </c>
      <c r="C1010" s="8">
        <v>4.5871559633027525E-2</v>
      </c>
      <c r="D1010" s="8">
        <v>4.6189376443418015E-2</v>
      </c>
    </row>
    <row r="1011" spans="1:4">
      <c r="A1011" s="8">
        <v>12</v>
      </c>
      <c r="B1011" s="9">
        <v>4.6319419057083373E-2</v>
      </c>
      <c r="C1011" s="8">
        <v>4.6040515653775323E-2</v>
      </c>
      <c r="D1011" s="8">
        <v>4.6598322460391424E-2</v>
      </c>
    </row>
    <row r="1012" spans="1:4">
      <c r="A1012" s="8">
        <v>1836</v>
      </c>
      <c r="B1012" s="9">
        <v>4.5748756035654731E-2</v>
      </c>
      <c r="C1012" s="8">
        <v>4.5372050816696916E-2</v>
      </c>
      <c r="D1012" s="8">
        <v>4.6125461254612546E-2</v>
      </c>
    </row>
    <row r="1013" spans="1:4">
      <c r="A1013" s="8">
        <v>2</v>
      </c>
      <c r="B1013" s="9">
        <v>4.5749483696357375E-2</v>
      </c>
      <c r="C1013" s="8">
        <v>4.5330915684496827E-2</v>
      </c>
      <c r="D1013" s="8">
        <v>4.6168051708217916E-2</v>
      </c>
    </row>
    <row r="1014" spans="1:4">
      <c r="A1014" s="8">
        <v>3</v>
      </c>
      <c r="B1014" s="9">
        <v>4.599604871837177E-2</v>
      </c>
      <c r="C1014" s="8">
        <v>4.5372050816696916E-2</v>
      </c>
      <c r="D1014" s="8">
        <v>4.6620046620046623E-2</v>
      </c>
    </row>
    <row r="1015" spans="1:4">
      <c r="A1015" s="8">
        <v>4</v>
      </c>
      <c r="B1015" s="9">
        <v>4.6328590653579763E-2</v>
      </c>
      <c r="C1015" s="8">
        <v>4.6253469010175768E-2</v>
      </c>
      <c r="D1015" s="8">
        <v>4.6403712296983757E-2</v>
      </c>
    </row>
    <row r="1016" spans="1:4">
      <c r="A1016" s="8">
        <v>5</v>
      </c>
      <c r="B1016" s="9">
        <v>4.6350064041502159E-2</v>
      </c>
      <c r="C1016" s="8">
        <v>4.6274872744099957E-2</v>
      </c>
      <c r="D1016" s="8">
        <v>4.6425255338904362E-2</v>
      </c>
    </row>
    <row r="1017" spans="1:4">
      <c r="A1017" s="8">
        <v>6</v>
      </c>
      <c r="B1017" s="9">
        <v>4.6383626149694331E-2</v>
      </c>
      <c r="C1017" s="8">
        <v>4.6125461254612546E-2</v>
      </c>
      <c r="D1017" s="8">
        <v>4.6641791044776115E-2</v>
      </c>
    </row>
    <row r="1018" spans="1:4">
      <c r="A1018" s="8">
        <v>7</v>
      </c>
      <c r="B1018" s="9">
        <v>4.6019805670622721E-2</v>
      </c>
      <c r="C1018" s="8">
        <v>4.5871559633027525E-2</v>
      </c>
      <c r="D1018" s="8">
        <v>4.6168051708217916E-2</v>
      </c>
    </row>
    <row r="1019" spans="1:4">
      <c r="A1019" s="8">
        <v>8</v>
      </c>
      <c r="B1019" s="9">
        <v>4.5903688435641916E-2</v>
      </c>
      <c r="C1019" s="8">
        <v>4.5745654162854532E-2</v>
      </c>
      <c r="D1019" s="8">
        <v>4.6061722708429294E-2</v>
      </c>
    </row>
    <row r="1020" spans="1:4">
      <c r="A1020" s="8">
        <v>9</v>
      </c>
      <c r="B1020" s="9">
        <v>4.5999133337395817E-2</v>
      </c>
      <c r="C1020" s="8">
        <v>4.5787545787545784E-2</v>
      </c>
      <c r="D1020" s="8">
        <v>4.6210720887245843E-2</v>
      </c>
    </row>
    <row r="1021" spans="1:4">
      <c r="A1021" s="8">
        <v>10</v>
      </c>
      <c r="B1021" s="9">
        <v>4.735087333439604E-2</v>
      </c>
      <c r="C1021" s="8">
        <v>4.7014574518100614E-2</v>
      </c>
      <c r="D1021" s="8">
        <v>4.7687172150691466E-2</v>
      </c>
    </row>
    <row r="1022" spans="1:4">
      <c r="A1022" s="8">
        <v>11</v>
      </c>
      <c r="B1022" s="9">
        <v>4.7270743041112027E-2</v>
      </c>
      <c r="C1022" s="8">
        <v>4.7103155911446065E-2</v>
      </c>
      <c r="D1022" s="8">
        <v>4.7438330170777983E-2</v>
      </c>
    </row>
    <row r="1023" spans="1:4">
      <c r="A1023" s="8">
        <v>12</v>
      </c>
      <c r="B1023" s="9">
        <v>4.6656146269793766E-2</v>
      </c>
      <c r="C1023" s="8">
        <v>4.6253469010175768E-2</v>
      </c>
      <c r="D1023" s="8">
        <v>4.7058823529411764E-2</v>
      </c>
    </row>
    <row r="1024" spans="1:4">
      <c r="A1024" s="8">
        <v>1837</v>
      </c>
      <c r="B1024" s="9">
        <v>4.5988655638130933E-2</v>
      </c>
      <c r="C1024" s="8">
        <v>4.5766590389016017E-2</v>
      </c>
      <c r="D1024" s="8">
        <v>4.6210720887245843E-2</v>
      </c>
    </row>
    <row r="1025" spans="1:4">
      <c r="A1025" s="8">
        <v>2</v>
      </c>
      <c r="B1025" s="9">
        <v>4.5704612426766614E-2</v>
      </c>
      <c r="C1025" s="8">
        <v>4.5516613563950842E-2</v>
      </c>
      <c r="D1025" s="8">
        <v>4.5892611289582379E-2</v>
      </c>
    </row>
    <row r="1026" spans="1:4">
      <c r="A1026" s="8">
        <v>3</v>
      </c>
      <c r="B1026" s="9">
        <v>4.6318837471178077E-2</v>
      </c>
      <c r="C1026" s="8">
        <v>4.5578851412944391E-2</v>
      </c>
      <c r="D1026" s="8">
        <v>4.7058823529411764E-2</v>
      </c>
    </row>
    <row r="1027" spans="1:4">
      <c r="A1027" s="8">
        <v>4</v>
      </c>
      <c r="B1027" s="9">
        <v>4.6827751500439663E-2</v>
      </c>
      <c r="C1027" s="8">
        <v>4.6707146193367584E-2</v>
      </c>
      <c r="D1027" s="8">
        <v>4.6948356807511735E-2</v>
      </c>
    </row>
    <row r="1028" spans="1:4">
      <c r="A1028" s="8">
        <v>5</v>
      </c>
      <c r="B1028" s="9">
        <v>4.6438760569211764E-2</v>
      </c>
      <c r="C1028" s="8">
        <v>4.6082949308755762E-2</v>
      </c>
      <c r="D1028" s="8">
        <v>4.6794571829667758E-2</v>
      </c>
    </row>
    <row r="1029" spans="1:4">
      <c r="A1029" s="8">
        <v>6</v>
      </c>
      <c r="B1029" s="9">
        <v>4.5768747381650612E-2</v>
      </c>
      <c r="C1029" s="8">
        <v>4.5454545454545456E-2</v>
      </c>
      <c r="D1029" s="8">
        <v>4.6082949308755762E-2</v>
      </c>
    </row>
    <row r="1030" spans="1:4">
      <c r="A1030" s="8">
        <v>7</v>
      </c>
      <c r="B1030" s="9">
        <v>4.5392983106103985E-2</v>
      </c>
      <c r="C1030" s="8">
        <v>4.5269352648257127E-2</v>
      </c>
      <c r="D1030" s="8">
        <v>4.5516613563950842E-2</v>
      </c>
    </row>
    <row r="1031" spans="1:4">
      <c r="A1031" s="8">
        <v>8</v>
      </c>
      <c r="B1031" s="9">
        <v>4.5239154575263583E-2</v>
      </c>
      <c r="C1031" s="8">
        <v>4.5085662759242556E-2</v>
      </c>
      <c r="D1031" s="8">
        <v>4.5392646391284611E-2</v>
      </c>
    </row>
    <row r="1032" spans="1:4">
      <c r="A1032" s="8">
        <v>9</v>
      </c>
      <c r="B1032" s="9">
        <v>4.5638565056040782E-2</v>
      </c>
      <c r="C1032" s="8">
        <v>4.5045045045045043E-2</v>
      </c>
      <c r="D1032" s="8">
        <v>4.6232085067036521E-2</v>
      </c>
    </row>
    <row r="1033" spans="1:4">
      <c r="A1033" s="8">
        <v>10</v>
      </c>
      <c r="B1033" s="9">
        <v>4.5821326011438852E-2</v>
      </c>
      <c r="C1033" s="8">
        <v>4.5495905368516831E-2</v>
      </c>
      <c r="D1033" s="8">
        <v>4.6146746654360873E-2</v>
      </c>
    </row>
    <row r="1034" spans="1:4">
      <c r="A1034" s="8">
        <v>11</v>
      </c>
      <c r="B1034" s="9">
        <v>4.6198247027254835E-2</v>
      </c>
      <c r="C1034" s="8">
        <v>4.5558086560364468E-2</v>
      </c>
      <c r="D1034" s="8">
        <v>4.6838407494145202E-2</v>
      </c>
    </row>
    <row r="1035" spans="1:4">
      <c r="A1035" s="8">
        <v>12</v>
      </c>
      <c r="B1035" s="9">
        <v>4.6502384909570649E-2</v>
      </c>
      <c r="C1035" s="8">
        <v>4.6232085067036521E-2</v>
      </c>
      <c r="D1035" s="8">
        <v>4.6772684752104769E-2</v>
      </c>
    </row>
    <row r="1036" spans="1:4">
      <c r="A1036" s="8">
        <v>1838</v>
      </c>
      <c r="B1036" s="9">
        <v>4.5875420875420875E-2</v>
      </c>
      <c r="C1036" s="8">
        <v>4.5454545454545456E-2</v>
      </c>
      <c r="D1036" s="8">
        <v>4.6296296296296294E-2</v>
      </c>
    </row>
    <row r="1037" spans="1:4">
      <c r="A1037" s="8">
        <v>2</v>
      </c>
      <c r="B1037" s="9">
        <v>4.5621045621045624E-2</v>
      </c>
      <c r="C1037" s="8">
        <v>4.5454545454545456E-2</v>
      </c>
      <c r="D1037" s="8">
        <v>4.5787545787545784E-2</v>
      </c>
    </row>
    <row r="1038" spans="1:4">
      <c r="A1038" s="8">
        <v>3</v>
      </c>
      <c r="B1038" s="9">
        <v>4.6089066590205549E-2</v>
      </c>
      <c r="C1038" s="8">
        <v>4.5558086560364468E-2</v>
      </c>
      <c r="D1038" s="8">
        <v>4.6620046620046623E-2</v>
      </c>
    </row>
    <row r="1039" spans="1:4">
      <c r="A1039" s="8">
        <v>4</v>
      </c>
      <c r="B1039" s="9">
        <v>4.6247345990456684E-2</v>
      </c>
      <c r="C1039" s="8">
        <v>4.5787545787545784E-2</v>
      </c>
      <c r="D1039" s="8">
        <v>4.6707146193367584E-2</v>
      </c>
    </row>
    <row r="1040" spans="1:4">
      <c r="A1040" s="8">
        <v>5</v>
      </c>
      <c r="B1040" s="9">
        <v>4.6086864181798873E-2</v>
      </c>
      <c r="C1040" s="8">
        <v>4.5662100456621002E-2</v>
      </c>
      <c r="D1040" s="8">
        <v>4.6511627906976744E-2</v>
      </c>
    </row>
    <row r="1041" spans="1:4">
      <c r="A1041" s="8">
        <v>6</v>
      </c>
      <c r="B1041" s="9">
        <v>4.5353572750833022E-2</v>
      </c>
      <c r="C1041" s="8">
        <v>4.5045045045045043E-2</v>
      </c>
      <c r="D1041" s="8">
        <v>4.5662100456621002E-2</v>
      </c>
    </row>
    <row r="1042" spans="1:4">
      <c r="A1042" s="8">
        <v>7</v>
      </c>
      <c r="B1042" s="9">
        <v>4.5016292189475733E-2</v>
      </c>
      <c r="C1042" s="8">
        <v>4.4742729306487698E-2</v>
      </c>
      <c r="D1042" s="8">
        <v>4.5289855072463768E-2</v>
      </c>
    </row>
    <row r="1043" spans="1:4">
      <c r="A1043" s="8">
        <v>8</v>
      </c>
      <c r="B1043" s="9">
        <v>4.4853613658191925E-2</v>
      </c>
      <c r="C1043" s="8">
        <v>4.4702726866338846E-2</v>
      </c>
      <c r="D1043" s="8">
        <v>4.5004500450045004E-2</v>
      </c>
    </row>
    <row r="1044" spans="1:4">
      <c r="A1044" s="8">
        <v>9</v>
      </c>
      <c r="B1044" s="9">
        <v>4.5420089416933526E-2</v>
      </c>
      <c r="C1044" s="8">
        <v>4.4863167339614173E-2</v>
      </c>
      <c r="D1044" s="8">
        <v>4.5977011494252873E-2</v>
      </c>
    </row>
    <row r="1045" spans="1:4">
      <c r="A1045" s="8">
        <v>10</v>
      </c>
      <c r="B1045" s="9">
        <v>4.5610719736117286E-2</v>
      </c>
      <c r="C1045" s="8">
        <v>4.5433893684688781E-2</v>
      </c>
      <c r="D1045" s="8">
        <v>4.5787545787545784E-2</v>
      </c>
    </row>
    <row r="1046" spans="1:4">
      <c r="A1046" s="8">
        <v>11</v>
      </c>
      <c r="B1046" s="9">
        <v>4.5229967072747623E-2</v>
      </c>
      <c r="C1046" s="8">
        <v>4.4964028776978415E-2</v>
      </c>
      <c r="D1046" s="8">
        <v>4.5495905368516831E-2</v>
      </c>
    </row>
    <row r="1047" spans="1:4">
      <c r="A1047" s="8">
        <v>12</v>
      </c>
      <c r="B1047" s="9">
        <v>4.558070735274565E-2</v>
      </c>
      <c r="C1047" s="8">
        <v>4.5289855072463768E-2</v>
      </c>
      <c r="D1047" s="8">
        <v>4.5871559633027525E-2</v>
      </c>
    </row>
    <row r="1048" spans="1:4">
      <c r="A1048" s="8">
        <v>1839</v>
      </c>
      <c r="B1048" s="9">
        <v>4.5372984875397218E-2</v>
      </c>
      <c r="C1048" s="8">
        <v>4.5167118337850046E-2</v>
      </c>
      <c r="D1048" s="8">
        <v>4.5578851412944391E-2</v>
      </c>
    </row>
    <row r="1049" spans="1:4">
      <c r="A1049" s="8">
        <v>2</v>
      </c>
      <c r="B1049" s="9">
        <v>4.529119283217644E-2</v>
      </c>
      <c r="C1049" s="8">
        <v>4.5045045045045043E-2</v>
      </c>
      <c r="D1049" s="8">
        <v>4.5537340619307837E-2</v>
      </c>
    </row>
    <row r="1050" spans="1:4">
      <c r="A1050" s="8">
        <v>3</v>
      </c>
      <c r="B1050" s="9">
        <v>4.5586815976994655E-2</v>
      </c>
      <c r="C1050" s="8">
        <v>4.4984255510571294E-2</v>
      </c>
      <c r="D1050" s="8">
        <v>4.6189376443418015E-2</v>
      </c>
    </row>
    <row r="1051" spans="1:4">
      <c r="A1051" s="8">
        <v>4</v>
      </c>
      <c r="B1051" s="9">
        <v>4.5663052543786491E-2</v>
      </c>
      <c r="C1051" s="8">
        <v>4.5454545454545456E-2</v>
      </c>
      <c r="D1051" s="8">
        <v>4.5871559633027525E-2</v>
      </c>
    </row>
    <row r="1052" spans="1:4">
      <c r="A1052" s="8">
        <v>5</v>
      </c>
      <c r="B1052" s="9">
        <v>4.4964610587063136E-2</v>
      </c>
      <c r="C1052" s="8">
        <v>4.4802867383512544E-2</v>
      </c>
      <c r="D1052" s="8">
        <v>4.5126353790613721E-2</v>
      </c>
    </row>
    <row r="1053" spans="1:4">
      <c r="A1053" s="8">
        <v>6</v>
      </c>
      <c r="B1053" s="9">
        <v>4.496435604329841E-2</v>
      </c>
      <c r="C1053" s="8">
        <v>4.4843049327354258E-2</v>
      </c>
      <c r="D1053" s="8">
        <v>4.5085662759242556E-2</v>
      </c>
    </row>
    <row r="1054" spans="1:4">
      <c r="A1054" s="8">
        <v>7</v>
      </c>
      <c r="B1054" s="9">
        <v>4.4793644258407865E-2</v>
      </c>
      <c r="C1054" s="8">
        <v>4.4603033006244429E-2</v>
      </c>
      <c r="D1054" s="8">
        <v>4.4984255510571294E-2</v>
      </c>
    </row>
    <row r="1055" spans="1:4">
      <c r="A1055" s="8">
        <v>8</v>
      </c>
      <c r="B1055" s="9">
        <v>4.4464768936426063E-2</v>
      </c>
      <c r="C1055" s="8">
        <v>4.4306601683650866E-2</v>
      </c>
      <c r="D1055" s="8">
        <v>4.4622936189201254E-2</v>
      </c>
    </row>
    <row r="1056" spans="1:4">
      <c r="A1056" s="8">
        <v>9</v>
      </c>
      <c r="B1056" s="9">
        <v>4.4997493502949085E-2</v>
      </c>
      <c r="C1056" s="8">
        <v>4.4622936189201254E-2</v>
      </c>
      <c r="D1056" s="8">
        <v>4.5372050816696916E-2</v>
      </c>
    </row>
    <row r="1057" spans="1:4">
      <c r="A1057" s="8">
        <v>10</v>
      </c>
      <c r="B1057" s="9">
        <v>4.5167450058754409E-2</v>
      </c>
      <c r="C1057" s="8">
        <v>4.5045045045045043E-2</v>
      </c>
      <c r="D1057" s="8">
        <v>4.5289855072463768E-2</v>
      </c>
    </row>
    <row r="1058" spans="1:4">
      <c r="A1058" s="8">
        <v>11</v>
      </c>
      <c r="B1058" s="9">
        <v>4.4954742124078725E-2</v>
      </c>
      <c r="C1058" s="8">
        <v>4.4762757385854966E-2</v>
      </c>
      <c r="D1058" s="8">
        <v>4.5146726862302484E-2</v>
      </c>
    </row>
    <row r="1059" spans="1:4">
      <c r="A1059" s="8">
        <v>12</v>
      </c>
      <c r="B1059" s="9">
        <v>4.461460070778283E-2</v>
      </c>
      <c r="C1059" s="8">
        <v>4.4345898004434593E-2</v>
      </c>
      <c r="D1059" s="8">
        <v>4.4883303411131059E-2</v>
      </c>
    </row>
    <row r="1060" spans="1:4">
      <c r="A1060" s="8">
        <v>1840</v>
      </c>
      <c r="B1060" s="9">
        <v>4.4683323417016398E-2</v>
      </c>
      <c r="C1060" s="8">
        <v>4.4523597506678537E-2</v>
      </c>
      <c r="D1060" s="8">
        <v>4.4843049327354258E-2</v>
      </c>
    </row>
    <row r="1061" spans="1:4">
      <c r="A1061" s="8">
        <v>2</v>
      </c>
      <c r="B1061" s="9">
        <v>4.4221087054631181E-2</v>
      </c>
      <c r="C1061" s="8">
        <v>4.387889425186485E-2</v>
      </c>
      <c r="D1061" s="8">
        <v>4.4563279857397504E-2</v>
      </c>
    </row>
    <row r="1062" spans="1:4">
      <c r="A1062" s="8">
        <v>3</v>
      </c>
      <c r="B1062" s="9">
        <v>4.4312038424446899E-2</v>
      </c>
      <c r="C1062" s="8">
        <v>4.3821209465381247E-2</v>
      </c>
      <c r="D1062" s="8">
        <v>4.4802867383512544E-2</v>
      </c>
    </row>
    <row r="1063" spans="1:4">
      <c r="A1063" s="8">
        <v>4</v>
      </c>
      <c r="B1063" s="9">
        <v>4.4421952316689155E-2</v>
      </c>
      <c r="C1063" s="8">
        <v>4.3859649122807015E-2</v>
      </c>
      <c r="D1063" s="8">
        <v>4.4984255510571294E-2</v>
      </c>
    </row>
    <row r="1064" spans="1:4">
      <c r="A1064" s="8">
        <v>5</v>
      </c>
      <c r="B1064" s="9">
        <v>4.3502316843703495E-2</v>
      </c>
      <c r="C1064" s="8">
        <v>4.3029259896729774E-2</v>
      </c>
      <c r="D1064" s="8">
        <v>4.3975373790677216E-2</v>
      </c>
    </row>
    <row r="1065" spans="1:4">
      <c r="A1065" s="8">
        <v>6</v>
      </c>
      <c r="B1065" s="9">
        <v>4.286743251089601E-2</v>
      </c>
      <c r="C1065" s="8">
        <v>4.2444821731748725E-2</v>
      </c>
      <c r="D1065" s="8">
        <v>4.3290043290043288E-2</v>
      </c>
    </row>
    <row r="1066" spans="1:4">
      <c r="A1066" s="8">
        <v>7</v>
      </c>
      <c r="B1066" s="9">
        <v>4.3160245672808489E-2</v>
      </c>
      <c r="C1066" s="8">
        <v>4.1876046901172526E-2</v>
      </c>
      <c r="D1066" s="8">
        <v>4.4444444444444446E-2</v>
      </c>
    </row>
    <row r="1067" spans="1:4">
      <c r="A1067" s="8">
        <v>8</v>
      </c>
      <c r="B1067" s="9">
        <v>4.4143121072488967E-2</v>
      </c>
      <c r="C1067" s="8">
        <v>4.29553264604811E-2</v>
      </c>
      <c r="D1067" s="8">
        <v>4.5330915684496827E-2</v>
      </c>
    </row>
    <row r="1068" spans="1:4">
      <c r="A1068" s="8">
        <v>9</v>
      </c>
      <c r="B1068" s="9">
        <v>4.463382339585123E-2</v>
      </c>
      <c r="C1068" s="8">
        <v>4.3936731107205626E-2</v>
      </c>
      <c r="D1068" s="8">
        <v>4.5330915684496827E-2</v>
      </c>
    </row>
    <row r="1069" spans="1:4">
      <c r="A1069" s="8">
        <v>10</v>
      </c>
      <c r="B1069" s="9">
        <v>4.5455484617450775E-2</v>
      </c>
      <c r="C1069" s="8">
        <v>4.5248868778280542E-2</v>
      </c>
      <c r="D1069" s="8">
        <v>4.5662100456621002E-2</v>
      </c>
    </row>
    <row r="1070" spans="1:4">
      <c r="A1070" s="8">
        <v>11</v>
      </c>
      <c r="B1070" s="9">
        <v>4.5377075365671919E-2</v>
      </c>
      <c r="C1070" s="8">
        <v>4.4543429844097995E-2</v>
      </c>
      <c r="D1070" s="8">
        <v>4.6210720887245843E-2</v>
      </c>
    </row>
    <row r="1071" spans="1:4">
      <c r="A1071" s="8">
        <v>12</v>
      </c>
      <c r="B1071" s="9">
        <v>4.5058670672784115E-2</v>
      </c>
      <c r="C1071" s="8">
        <v>4.4662795891022775E-2</v>
      </c>
      <c r="D1071" s="8">
        <v>4.5454545454545456E-2</v>
      </c>
    </row>
    <row r="1072" spans="1:4">
      <c r="A1072" s="8">
        <v>1841</v>
      </c>
      <c r="B1072" s="9">
        <v>4.4817462482070004E-2</v>
      </c>
      <c r="C1072" s="8">
        <v>4.4365572315882874E-2</v>
      </c>
      <c r="D1072" s="8">
        <v>4.5269352648257127E-2</v>
      </c>
    </row>
    <row r="1073" spans="1:4">
      <c r="A1073" s="8">
        <v>2</v>
      </c>
      <c r="B1073" s="9">
        <v>4.4535633465092435E-2</v>
      </c>
      <c r="C1073" s="8">
        <v>4.4228217602830605E-2</v>
      </c>
      <c r="D1073" s="8">
        <v>4.4843049327354258E-2</v>
      </c>
    </row>
    <row r="1074" spans="1:4">
      <c r="A1074" s="8">
        <v>3</v>
      </c>
      <c r="B1074" s="9">
        <v>4.4583152000031795E-2</v>
      </c>
      <c r="C1074" s="8">
        <v>4.3917435221783048E-2</v>
      </c>
      <c r="D1074" s="8">
        <v>4.5248868778280542E-2</v>
      </c>
    </row>
    <row r="1075" spans="1:4">
      <c r="A1075" s="8">
        <v>4</v>
      </c>
      <c r="B1075" s="9">
        <v>4.4201539483452505E-2</v>
      </c>
      <c r="C1075" s="8">
        <v>4.3859649122807015E-2</v>
      </c>
      <c r="D1075" s="8">
        <v>4.4543429844097995E-2</v>
      </c>
    </row>
    <row r="1076" spans="1:4">
      <c r="A1076" s="8">
        <v>5</v>
      </c>
      <c r="B1076" s="9">
        <v>4.3689334286393225E-2</v>
      </c>
      <c r="C1076" s="8">
        <v>4.3383947939262472E-2</v>
      </c>
      <c r="D1076" s="8">
        <v>4.3994720633523977E-2</v>
      </c>
    </row>
    <row r="1077" spans="1:4">
      <c r="A1077" s="8">
        <v>6</v>
      </c>
      <c r="B1077" s="9">
        <v>4.3564239936385397E-2</v>
      </c>
      <c r="C1077" s="8">
        <v>4.3383947939262472E-2</v>
      </c>
      <c r="D1077" s="8">
        <v>4.3744531933508315E-2</v>
      </c>
    </row>
    <row r="1078" spans="1:4">
      <c r="A1078" s="8">
        <v>7</v>
      </c>
      <c r="B1078" s="9">
        <v>4.3498563544608834E-2</v>
      </c>
      <c r="C1078" s="8">
        <v>4.3252595155709346E-2</v>
      </c>
      <c r="D1078" s="8">
        <v>4.3744531933508315E-2</v>
      </c>
    </row>
    <row r="1079" spans="1:4">
      <c r="A1079" s="8">
        <v>8</v>
      </c>
      <c r="B1079" s="9">
        <v>4.3067472373384971E-2</v>
      </c>
      <c r="C1079" s="8">
        <v>4.2844901456726647E-2</v>
      </c>
      <c r="D1079" s="8">
        <v>4.3290043290043288E-2</v>
      </c>
    </row>
    <row r="1080" spans="1:4">
      <c r="A1080" s="8">
        <v>9</v>
      </c>
      <c r="B1080" s="9">
        <v>4.32210960787782E-2</v>
      </c>
      <c r="C1080" s="8">
        <v>4.2716787697565144E-2</v>
      </c>
      <c r="D1080" s="8">
        <v>4.3725404459991256E-2</v>
      </c>
    </row>
    <row r="1081" spans="1:4">
      <c r="A1081" s="8">
        <v>10</v>
      </c>
      <c r="B1081" s="9">
        <v>4.3313089294369944E-2</v>
      </c>
      <c r="C1081" s="8">
        <v>4.2881646655231566E-2</v>
      </c>
      <c r="D1081" s="8">
        <v>4.3744531933508315E-2</v>
      </c>
    </row>
    <row r="1082" spans="1:4">
      <c r="A1082" s="8">
        <v>11</v>
      </c>
      <c r="B1082" s="9">
        <v>4.3094738969009679E-2</v>
      </c>
      <c r="C1082" s="8">
        <v>4.2936882782310004E-2</v>
      </c>
      <c r="D1082" s="8">
        <v>4.3252595155709346E-2</v>
      </c>
    </row>
    <row r="1083" spans="1:4">
      <c r="A1083" s="8">
        <v>12</v>
      </c>
      <c r="B1083" s="9">
        <v>4.2946342247950069E-2</v>
      </c>
      <c r="C1083" s="8">
        <v>4.2844901456726647E-2</v>
      </c>
      <c r="D1083" s="8">
        <v>4.3047783039173483E-2</v>
      </c>
    </row>
    <row r="1084" spans="1:4">
      <c r="A1084" s="8">
        <v>1842</v>
      </c>
      <c r="B1084" s="9">
        <v>4.2510891100559535E-2</v>
      </c>
      <c r="C1084" s="8">
        <v>4.2158516020236091E-2</v>
      </c>
      <c r="D1084" s="8">
        <v>4.2863266180882979E-2</v>
      </c>
    </row>
    <row r="1085" spans="1:4">
      <c r="A1085" s="8">
        <v>2</v>
      </c>
      <c r="B1085" s="9">
        <v>4.1990758682997717E-2</v>
      </c>
      <c r="C1085" s="8">
        <v>4.1858518208455417E-2</v>
      </c>
      <c r="D1085" s="8">
        <v>4.2122999157540017E-2</v>
      </c>
    </row>
    <row r="1086" spans="1:4">
      <c r="A1086" s="8">
        <v>3</v>
      </c>
      <c r="B1086" s="9">
        <v>4.2191291631974472E-2</v>
      </c>
      <c r="C1086" s="8">
        <v>4.1684035014589414E-2</v>
      </c>
      <c r="D1086" s="8">
        <v>4.2698548249359522E-2</v>
      </c>
    </row>
    <row r="1087" spans="1:4">
      <c r="A1087" s="8">
        <v>4</v>
      </c>
      <c r="B1087" s="9">
        <v>4.2064755838641187E-2</v>
      </c>
      <c r="C1087" s="8">
        <v>4.1666666666666664E-2</v>
      </c>
      <c r="D1087" s="8">
        <v>4.2462845010615709E-2</v>
      </c>
    </row>
    <row r="1088" spans="1:4">
      <c r="A1088" s="8">
        <v>5</v>
      </c>
      <c r="B1088" s="9">
        <v>4.1745464025534876E-2</v>
      </c>
      <c r="C1088" s="8">
        <v>4.1597337770382693E-2</v>
      </c>
      <c r="D1088" s="8">
        <v>4.1893590280687058E-2</v>
      </c>
    </row>
    <row r="1089" spans="1:4">
      <c r="A1089" s="8">
        <v>6</v>
      </c>
      <c r="B1089" s="9">
        <v>4.1913033091270639E-2</v>
      </c>
      <c r="C1089" s="8">
        <v>4.1631973355537054E-2</v>
      </c>
      <c r="D1089" s="8">
        <v>4.2194092827004218E-2</v>
      </c>
    </row>
    <row r="1090" spans="1:4">
      <c r="A1090" s="8">
        <v>7</v>
      </c>
      <c r="B1090" s="9">
        <v>4.2385057471264372E-2</v>
      </c>
      <c r="C1090" s="8">
        <v>4.1666666666666664E-2</v>
      </c>
      <c r="D1090" s="8">
        <v>4.3103448275862072E-2</v>
      </c>
    </row>
    <row r="1091" spans="1:4">
      <c r="A1091" s="8">
        <v>8</v>
      </c>
      <c r="B1091" s="9">
        <v>4.1976801672517876E-2</v>
      </c>
      <c r="C1091" s="8">
        <v>4.1562759767248547E-2</v>
      </c>
      <c r="D1091" s="8">
        <v>4.2390843577787198E-2</v>
      </c>
    </row>
    <row r="1092" spans="1:4">
      <c r="A1092" s="8">
        <v>9</v>
      </c>
      <c r="B1092" s="9">
        <v>4.1863865508520677E-2</v>
      </c>
      <c r="C1092" s="8">
        <v>4.1390728476821195E-2</v>
      </c>
      <c r="D1092" s="8">
        <v>4.2337002540220152E-2</v>
      </c>
    </row>
    <row r="1093" spans="1:4">
      <c r="A1093" s="8">
        <v>10</v>
      </c>
      <c r="B1093" s="9">
        <v>4.214111680175029E-2</v>
      </c>
      <c r="C1093" s="8">
        <v>4.2016806722689079E-2</v>
      </c>
      <c r="D1093" s="8">
        <v>4.2265426880811495E-2</v>
      </c>
    </row>
    <row r="1094" spans="1:4">
      <c r="A1094" s="8">
        <v>11</v>
      </c>
      <c r="B1094" s="9">
        <v>4.2079225451866965E-2</v>
      </c>
      <c r="C1094" s="8">
        <v>4.1928721174004195E-2</v>
      </c>
      <c r="D1094" s="8">
        <v>4.2229729729729729E-2</v>
      </c>
    </row>
    <row r="1095" spans="1:4">
      <c r="A1095" s="8">
        <v>12</v>
      </c>
      <c r="B1095" s="9">
        <v>4.1965159936039671E-2</v>
      </c>
      <c r="C1095" s="8">
        <v>4.1736227045075125E-2</v>
      </c>
      <c r="D1095" s="8">
        <v>4.2194092827004218E-2</v>
      </c>
    </row>
    <row r="1096" spans="1:4">
      <c r="A1096" s="8">
        <v>1843</v>
      </c>
      <c r="B1096" s="9">
        <v>4.1606943780856824E-2</v>
      </c>
      <c r="C1096" s="8">
        <v>4.1407867494824016E-2</v>
      </c>
      <c r="D1096" s="8">
        <v>4.1806020066889632E-2</v>
      </c>
    </row>
    <row r="1097" spans="1:4">
      <c r="A1097" s="8">
        <v>2</v>
      </c>
      <c r="B1097" s="9">
        <v>4.1255136468723703E-2</v>
      </c>
      <c r="C1097" s="8">
        <v>4.1050903119868636E-2</v>
      </c>
      <c r="D1097" s="8">
        <v>4.1459369817578771E-2</v>
      </c>
    </row>
    <row r="1098" spans="1:4">
      <c r="A1098" s="8">
        <v>3</v>
      </c>
      <c r="B1098" s="9">
        <v>4.1249829862528925E-2</v>
      </c>
      <c r="C1098" s="8">
        <v>4.0832993058391179E-2</v>
      </c>
      <c r="D1098" s="8">
        <v>4.1666666666666664E-2</v>
      </c>
    </row>
    <row r="1099" spans="1:4">
      <c r="A1099" s="8">
        <v>4</v>
      </c>
      <c r="B1099" s="9">
        <v>4.1478171230699148E-2</v>
      </c>
      <c r="C1099" s="8">
        <v>4.1220115416323165E-2</v>
      </c>
      <c r="D1099" s="8">
        <v>4.1736227045075125E-2</v>
      </c>
    </row>
    <row r="1100" spans="1:4">
      <c r="A1100" s="8">
        <v>5</v>
      </c>
      <c r="B1100" s="9">
        <v>4.1460574208325635E-2</v>
      </c>
      <c r="C1100" s="8">
        <v>4.1237113402061855E-2</v>
      </c>
      <c r="D1100" s="8">
        <v>4.1684035014589414E-2</v>
      </c>
    </row>
    <row r="1101" spans="1:4">
      <c r="A1101" s="8">
        <v>6</v>
      </c>
      <c r="B1101" s="9">
        <v>4.135961259487439E-2</v>
      </c>
      <c r="C1101" s="8">
        <v>4.1000410004100041E-2</v>
      </c>
      <c r="D1101" s="8">
        <v>4.1718815185648732E-2</v>
      </c>
    </row>
    <row r="1102" spans="1:4">
      <c r="A1102" s="8">
        <v>7</v>
      </c>
      <c r="B1102" s="9">
        <v>4.115282788515618E-2</v>
      </c>
      <c r="C1102" s="8">
        <v>4.1000410004100041E-2</v>
      </c>
      <c r="D1102" s="8">
        <v>4.1305245766212313E-2</v>
      </c>
    </row>
    <row r="1103" spans="1:4">
      <c r="A1103" s="8">
        <v>8</v>
      </c>
      <c r="B1103" s="9">
        <v>4.0834143680161777E-2</v>
      </c>
      <c r="C1103" s="8">
        <v>4.0617384240454919E-2</v>
      </c>
      <c r="D1103" s="8">
        <v>4.1050903119868636E-2</v>
      </c>
    </row>
    <row r="1104" spans="1:4">
      <c r="A1104" s="8">
        <v>9</v>
      </c>
      <c r="B1104" s="9">
        <v>4.1031651016002597E-2</v>
      </c>
      <c r="C1104" s="8">
        <v>4.0535062829347386E-2</v>
      </c>
      <c r="D1104" s="8">
        <v>4.1528239202657809E-2</v>
      </c>
    </row>
    <row r="1105" spans="1:4">
      <c r="A1105" s="8">
        <v>10</v>
      </c>
      <c r="B1105" s="9">
        <v>4.1382676302359832E-2</v>
      </c>
      <c r="C1105" s="8">
        <v>4.1237113402061855E-2</v>
      </c>
      <c r="D1105" s="8">
        <v>4.1528239202657809E-2</v>
      </c>
    </row>
    <row r="1106" spans="1:4">
      <c r="A1106" s="8">
        <v>11</v>
      </c>
      <c r="B1106" s="9">
        <v>4.1178451486748119E-2</v>
      </c>
      <c r="C1106" s="8">
        <v>4.1000410004100041E-2</v>
      </c>
      <c r="D1106" s="8">
        <v>4.135649296939619E-2</v>
      </c>
    </row>
    <row r="1107" spans="1:4">
      <c r="A1107" s="8">
        <v>12</v>
      </c>
      <c r="B1107" s="9">
        <v>4.0701989212399113E-2</v>
      </c>
      <c r="C1107" s="8">
        <v>4.042037186742118E-2</v>
      </c>
      <c r="D1107" s="8">
        <v>4.0983606557377046E-2</v>
      </c>
    </row>
    <row r="1108" spans="1:4">
      <c r="A1108" s="8">
        <v>1844</v>
      </c>
      <c r="B1108" s="9">
        <v>4.0218540415548995E-2</v>
      </c>
      <c r="C1108" s="8">
        <v>3.9984006397441027E-2</v>
      </c>
      <c r="D1108" s="8">
        <v>4.0453074433656963E-2</v>
      </c>
    </row>
    <row r="1109" spans="1:4">
      <c r="A1109" s="8">
        <v>2</v>
      </c>
      <c r="B1109" s="9">
        <v>3.9937732863777879E-2</v>
      </c>
      <c r="C1109" s="8">
        <v>3.968253968253968E-2</v>
      </c>
      <c r="D1109" s="8">
        <v>4.0192926045016078E-2</v>
      </c>
    </row>
    <row r="1110" spans="1:4">
      <c r="A1110" s="8">
        <v>3</v>
      </c>
      <c r="B1110" s="9">
        <v>4.0404198642445037E-2</v>
      </c>
      <c r="C1110" s="8">
        <v>3.9588281868566902E-2</v>
      </c>
      <c r="D1110" s="8">
        <v>4.1220115416323165E-2</v>
      </c>
    </row>
    <row r="1111" spans="1:4">
      <c r="A1111" s="8">
        <v>4</v>
      </c>
      <c r="B1111" s="9">
        <v>4.0852400011748405E-2</v>
      </c>
      <c r="C1111" s="8">
        <v>4.0518638573743923E-2</v>
      </c>
      <c r="D1111" s="8">
        <v>4.118616144975288E-2</v>
      </c>
    </row>
    <row r="1112" spans="1:4">
      <c r="A1112" s="8">
        <v>5</v>
      </c>
      <c r="B1112" s="9">
        <v>4.0984439518473151E-2</v>
      </c>
      <c r="C1112" s="8">
        <v>4.0799673602611178E-2</v>
      </c>
      <c r="D1112" s="8">
        <v>4.1169205434335117E-2</v>
      </c>
    </row>
    <row r="1113" spans="1:4">
      <c r="A1113" s="8">
        <v>6</v>
      </c>
      <c r="B1113" s="9">
        <v>4.1009439318474748E-2</v>
      </c>
      <c r="C1113" s="8">
        <v>4.084967320261438E-2</v>
      </c>
      <c r="D1113" s="8">
        <v>4.1169205434335117E-2</v>
      </c>
    </row>
    <row r="1114" spans="1:4">
      <c r="A1114" s="8">
        <v>7</v>
      </c>
      <c r="B1114" s="9">
        <v>4.1060246196258372E-2</v>
      </c>
      <c r="C1114" s="8">
        <v>4.0866366979975484E-2</v>
      </c>
      <c r="D1114" s="8">
        <v>4.1254125412541254E-2</v>
      </c>
    </row>
    <row r="1115" spans="1:4">
      <c r="A1115" s="8">
        <v>8</v>
      </c>
      <c r="B1115" s="9">
        <v>4.150510480921777E-2</v>
      </c>
      <c r="C1115" s="8">
        <v>4.1169205434335117E-2</v>
      </c>
      <c r="D1115" s="8">
        <v>4.1841004184100417E-2</v>
      </c>
    </row>
    <row r="1116" spans="1:4">
      <c r="A1116" s="8">
        <v>9</v>
      </c>
      <c r="B1116" s="9">
        <v>4.1645336762765689E-2</v>
      </c>
      <c r="C1116" s="8">
        <v>4.1203131437989288E-2</v>
      </c>
      <c r="D1116" s="8">
        <v>4.208754208754209E-2</v>
      </c>
    </row>
    <row r="1117" spans="1:4">
      <c r="A1117" s="8">
        <v>10</v>
      </c>
      <c r="B1117" s="9">
        <v>4.2176904631454619E-2</v>
      </c>
      <c r="C1117" s="8">
        <v>4.2016806722689079E-2</v>
      </c>
      <c r="D1117" s="8">
        <v>4.2337002540220152E-2</v>
      </c>
    </row>
    <row r="1118" spans="1:4">
      <c r="A1118" s="8">
        <v>11</v>
      </c>
      <c r="B1118" s="9">
        <v>4.1938326301108213E-2</v>
      </c>
      <c r="C1118" s="8">
        <v>4.1753653444676408E-2</v>
      </c>
      <c r="D1118" s="8">
        <v>4.2122999157540017E-2</v>
      </c>
    </row>
    <row r="1119" spans="1:4">
      <c r="A1119" s="8">
        <v>12</v>
      </c>
      <c r="B1119" s="9">
        <v>4.1464957641104631E-2</v>
      </c>
      <c r="C1119" s="8">
        <v>4.0983606557377046E-2</v>
      </c>
      <c r="D1119" s="8">
        <v>4.1946308724832217E-2</v>
      </c>
    </row>
    <row r="1120" spans="1:4">
      <c r="A1120" s="8">
        <v>1845</v>
      </c>
      <c r="B1120" s="9">
        <v>4.1137590602962688E-2</v>
      </c>
      <c r="C1120" s="8">
        <v>4.0832993058391179E-2</v>
      </c>
      <c r="D1120" s="8">
        <v>4.1442188147534191E-2</v>
      </c>
    </row>
    <row r="1121" spans="1:4">
      <c r="A1121" s="8">
        <v>2</v>
      </c>
      <c r="B1121" s="9">
        <v>4.0943101074896793E-2</v>
      </c>
      <c r="C1121" s="8">
        <v>4.0700040700040699E-2</v>
      </c>
      <c r="D1121" s="8">
        <v>4.118616144975288E-2</v>
      </c>
    </row>
    <row r="1122" spans="1:4">
      <c r="A1122" s="8">
        <v>3</v>
      </c>
      <c r="B1122" s="9">
        <v>4.1881172146784877E-2</v>
      </c>
      <c r="C1122" s="8">
        <v>4.1118421052631582E-2</v>
      </c>
      <c r="D1122" s="8">
        <v>4.2643923240938165E-2</v>
      </c>
    </row>
    <row r="1123" spans="1:4">
      <c r="A1123" s="8">
        <v>4</v>
      </c>
      <c r="B1123" s="9">
        <v>4.2297158782943753E-2</v>
      </c>
      <c r="C1123" s="8">
        <v>4.1841004184100417E-2</v>
      </c>
      <c r="D1123" s="8">
        <v>4.2753313381787089E-2</v>
      </c>
    </row>
    <row r="1124" spans="1:4">
      <c r="A1124" s="8">
        <v>5</v>
      </c>
      <c r="B1124" s="9">
        <v>4.1341946951052776E-2</v>
      </c>
      <c r="C1124" s="8">
        <v>4.101722723543888E-2</v>
      </c>
      <c r="D1124" s="8">
        <v>4.1666666666666664E-2</v>
      </c>
    </row>
    <row r="1125" spans="1:4">
      <c r="A1125" s="8">
        <v>6</v>
      </c>
      <c r="B1125" s="9">
        <v>4.1009894509467175E-2</v>
      </c>
      <c r="C1125" s="8">
        <v>4.0799673602611178E-2</v>
      </c>
      <c r="D1125" s="8">
        <v>4.1220115416323165E-2</v>
      </c>
    </row>
    <row r="1126" spans="1:4">
      <c r="A1126" s="8">
        <v>7</v>
      </c>
      <c r="B1126" s="9">
        <v>4.1221488187477909E-2</v>
      </c>
      <c r="C1126" s="8">
        <v>4.0983606557377046E-2</v>
      </c>
      <c r="D1126" s="8">
        <v>4.1459369817578771E-2</v>
      </c>
    </row>
    <row r="1127" spans="1:4">
      <c r="A1127" s="8">
        <v>8</v>
      </c>
      <c r="B1127" s="9">
        <v>4.1059955458672831E-2</v>
      </c>
      <c r="C1127" s="8">
        <v>4.0899795501022497E-2</v>
      </c>
      <c r="D1127" s="8">
        <v>4.1220115416323165E-2</v>
      </c>
    </row>
    <row r="1128" spans="1:4">
      <c r="A1128" s="8">
        <v>9</v>
      </c>
      <c r="B1128" s="9">
        <v>4.180399707703937E-2</v>
      </c>
      <c r="C1128" s="8">
        <v>4.1000410004100041E-2</v>
      </c>
      <c r="D1128" s="8">
        <v>4.26075841499787E-2</v>
      </c>
    </row>
    <row r="1129" spans="1:4">
      <c r="A1129" s="8">
        <v>10</v>
      </c>
      <c r="B1129" s="9">
        <v>4.2490462890579159E-2</v>
      </c>
      <c r="C1129" s="8">
        <v>4.2337002540220152E-2</v>
      </c>
      <c r="D1129" s="8">
        <v>4.2643923240938165E-2</v>
      </c>
    </row>
    <row r="1130" spans="1:4">
      <c r="A1130" s="8">
        <v>11</v>
      </c>
      <c r="B1130" s="9">
        <v>4.2681638333685525E-2</v>
      </c>
      <c r="C1130" s="8">
        <v>4.2444821731748725E-2</v>
      </c>
      <c r="D1130" s="8">
        <v>4.2918454935622317E-2</v>
      </c>
    </row>
    <row r="1131" spans="1:4">
      <c r="A1131" s="8">
        <v>12</v>
      </c>
      <c r="B1131" s="9">
        <v>4.2293097784324517E-2</v>
      </c>
      <c r="C1131" s="8">
        <v>4.1649312786339029E-2</v>
      </c>
      <c r="D1131" s="8">
        <v>4.2936882782310004E-2</v>
      </c>
    </row>
    <row r="1132" spans="1:4">
      <c r="A1132" s="8">
        <v>1846</v>
      </c>
      <c r="B1132" s="9">
        <v>4.1088629219856239E-2</v>
      </c>
      <c r="C1132" s="8">
        <v>4.0683482506102521E-2</v>
      </c>
      <c r="D1132" s="8">
        <v>4.1493775933609957E-2</v>
      </c>
    </row>
    <row r="1133" spans="1:4">
      <c r="A1133" s="8">
        <v>2</v>
      </c>
      <c r="B1133" s="9">
        <v>4.0593135994832559E-2</v>
      </c>
      <c r="C1133" s="8">
        <v>4.0453074433656963E-2</v>
      </c>
      <c r="D1133" s="8">
        <v>4.0733197556008148E-2</v>
      </c>
    </row>
    <row r="1134" spans="1:4">
      <c r="A1134" s="8">
        <v>3</v>
      </c>
      <c r="B1134" s="9">
        <v>4.1226117225228315E-2</v>
      </c>
      <c r="C1134" s="8">
        <v>4.0453074433656963E-2</v>
      </c>
      <c r="D1134" s="8">
        <v>4.1999160016799666E-2</v>
      </c>
    </row>
    <row r="1135" spans="1:4">
      <c r="A1135" s="8">
        <v>4</v>
      </c>
      <c r="B1135" s="9">
        <v>4.1754010128354793E-2</v>
      </c>
      <c r="C1135" s="8">
        <v>4.1631973355537054E-2</v>
      </c>
      <c r="D1135" s="8">
        <v>4.1876046901172526E-2</v>
      </c>
    </row>
    <row r="1136" spans="1:4">
      <c r="A1136" s="8">
        <v>5</v>
      </c>
      <c r="B1136" s="9">
        <v>4.1727826270160903E-2</v>
      </c>
      <c r="C1136" s="8">
        <v>4.161464835622139E-2</v>
      </c>
      <c r="D1136" s="8">
        <v>4.1841004184100417E-2</v>
      </c>
    </row>
    <row r="1137" spans="1:4">
      <c r="A1137" s="8">
        <v>6</v>
      </c>
      <c r="B1137" s="9">
        <v>4.1471262470184199E-2</v>
      </c>
      <c r="C1137" s="8">
        <v>4.1101520756267981E-2</v>
      </c>
      <c r="D1137" s="8">
        <v>4.1841004184100417E-2</v>
      </c>
    </row>
    <row r="1138" spans="1:4">
      <c r="A1138" s="8">
        <v>7</v>
      </c>
      <c r="B1138" s="9">
        <v>4.125875318628458E-2</v>
      </c>
      <c r="C1138" s="8">
        <v>4.103405826836274E-2</v>
      </c>
      <c r="D1138" s="8">
        <v>4.148344810420642E-2</v>
      </c>
    </row>
    <row r="1139" spans="1:4">
      <c r="A1139" s="8">
        <v>8</v>
      </c>
      <c r="B1139" s="9">
        <v>4.0993082847869032E-2</v>
      </c>
      <c r="C1139" s="8">
        <v>4.0783034257748776E-2</v>
      </c>
      <c r="D1139" s="8">
        <v>4.1203131437989288E-2</v>
      </c>
    </row>
    <row r="1140" spans="1:4">
      <c r="A1140" s="8">
        <v>9</v>
      </c>
      <c r="B1140" s="9">
        <v>4.1751616219701325E-2</v>
      </c>
      <c r="C1140" s="8">
        <v>4.0950040950040949E-2</v>
      </c>
      <c r="D1140" s="8">
        <v>4.2553191489361701E-2</v>
      </c>
    </row>
    <row r="1141" spans="1:4">
      <c r="A1141" s="8">
        <v>10</v>
      </c>
      <c r="B1141" s="9">
        <v>4.2508402298435187E-2</v>
      </c>
      <c r="C1141" s="8">
        <v>4.2372881355932202E-2</v>
      </c>
      <c r="D1141" s="8">
        <v>4.2643923240938165E-2</v>
      </c>
    </row>
    <row r="1142" spans="1:4">
      <c r="A1142" s="8">
        <v>11</v>
      </c>
      <c r="B1142" s="9">
        <v>4.2747145926824638E-2</v>
      </c>
      <c r="C1142" s="8">
        <v>4.2390843577787198E-2</v>
      </c>
      <c r="D1142" s="8">
        <v>4.3103448275862072E-2</v>
      </c>
    </row>
    <row r="1143" spans="1:4">
      <c r="A1143" s="8">
        <v>12</v>
      </c>
      <c r="B1143" s="9">
        <v>4.2320366788451899E-2</v>
      </c>
      <c r="C1143" s="8">
        <v>4.208754208754209E-2</v>
      </c>
      <c r="D1143" s="8">
        <v>4.2553191489361701E-2</v>
      </c>
    </row>
    <row r="1144" spans="1:4">
      <c r="A1144" s="8">
        <v>1847</v>
      </c>
      <c r="B1144" s="9">
        <v>4.2724279655139689E-2</v>
      </c>
      <c r="C1144" s="8">
        <v>4.2158516020236091E-2</v>
      </c>
      <c r="D1144" s="8">
        <v>4.3290043290043288E-2</v>
      </c>
    </row>
    <row r="1145" spans="1:4">
      <c r="A1145" s="8">
        <v>2</v>
      </c>
      <c r="B1145" s="9">
        <v>4.224926746517247E-2</v>
      </c>
      <c r="C1145" s="8">
        <v>4.1981528127623846E-2</v>
      </c>
      <c r="D1145" s="8">
        <v>4.2517006802721087E-2</v>
      </c>
    </row>
    <row r="1146" spans="1:4">
      <c r="A1146" s="8">
        <v>3</v>
      </c>
      <c r="B1146" s="9">
        <v>4.2644601653421481E-2</v>
      </c>
      <c r="C1146" s="8">
        <v>4.1999160016799666E-2</v>
      </c>
      <c r="D1146" s="8">
        <v>4.3290043290043288E-2</v>
      </c>
    </row>
    <row r="1147" spans="1:4">
      <c r="A1147" s="8">
        <v>4</v>
      </c>
      <c r="B1147" s="9">
        <v>4.3067672073619383E-2</v>
      </c>
      <c r="C1147" s="8">
        <v>4.2826552462526764E-2</v>
      </c>
      <c r="D1147" s="8">
        <v>4.3308791684711995E-2</v>
      </c>
    </row>
    <row r="1148" spans="1:4">
      <c r="A1148" s="8">
        <v>5</v>
      </c>
      <c r="B1148" s="9">
        <v>4.3053481625034279E-2</v>
      </c>
      <c r="C1148" s="8">
        <v>4.2760626015564865E-2</v>
      </c>
      <c r="D1148" s="8">
        <v>4.3346337234503686E-2</v>
      </c>
    </row>
    <row r="1149" spans="1:4">
      <c r="A1149" s="8">
        <v>6</v>
      </c>
      <c r="B1149" s="9">
        <v>4.2627488624947328E-2</v>
      </c>
      <c r="C1149" s="8">
        <v>4.2354934349851756E-2</v>
      </c>
      <c r="D1149" s="8">
        <v>4.2900042900042901E-2</v>
      </c>
    </row>
    <row r="1150" spans="1:4">
      <c r="A1150" s="8">
        <v>7</v>
      </c>
      <c r="B1150" s="9">
        <v>4.227594908656785E-2</v>
      </c>
      <c r="C1150" s="8">
        <v>4.2016806722689079E-2</v>
      </c>
      <c r="D1150" s="8">
        <v>4.2535091450446622E-2</v>
      </c>
    </row>
    <row r="1151" spans="1:4">
      <c r="A1151" s="8">
        <v>8</v>
      </c>
      <c r="B1151" s="9">
        <v>4.2328468918809967E-2</v>
      </c>
      <c r="C1151" s="8">
        <v>4.2194092827004218E-2</v>
      </c>
      <c r="D1151" s="8">
        <v>4.2462845010615709E-2</v>
      </c>
    </row>
    <row r="1152" spans="1:4">
      <c r="A1152" s="8">
        <v>9</v>
      </c>
      <c r="B1152" s="9">
        <v>4.3215123015627827E-2</v>
      </c>
      <c r="C1152" s="8">
        <v>4.2319085907744393E-2</v>
      </c>
      <c r="D1152" s="8">
        <v>4.4111160123511253E-2</v>
      </c>
    </row>
    <row r="1153" spans="1:4">
      <c r="A1153" s="8">
        <v>10</v>
      </c>
      <c r="B1153" s="9">
        <v>4.360347398107417E-2</v>
      </c>
      <c r="C1153" s="8">
        <v>4.3308791684711995E-2</v>
      </c>
      <c r="D1153" s="8">
        <v>4.3898156277436345E-2</v>
      </c>
    </row>
    <row r="1154" spans="1:4">
      <c r="A1154" s="8">
        <v>11</v>
      </c>
      <c r="B1154" s="9">
        <v>4.315187635716608E-2</v>
      </c>
      <c r="C1154" s="8">
        <v>4.2863266180882979E-2</v>
      </c>
      <c r="D1154" s="8">
        <v>4.3440486533449174E-2</v>
      </c>
    </row>
    <row r="1155" spans="1:4">
      <c r="A1155" s="8">
        <v>12</v>
      </c>
      <c r="B1155" s="9">
        <v>4.2845687968842701E-2</v>
      </c>
      <c r="C1155" s="8">
        <v>4.2662116040955628E-2</v>
      </c>
      <c r="D1155" s="8">
        <v>4.3029259896729774E-2</v>
      </c>
    </row>
    <row r="1156" spans="1:4">
      <c r="A1156" s="8">
        <v>1848</v>
      </c>
      <c r="B1156" s="9">
        <v>4.2995130237720926E-2</v>
      </c>
      <c r="C1156" s="8">
        <v>4.2643923240938165E-2</v>
      </c>
      <c r="D1156" s="8">
        <v>4.3346337234503686E-2</v>
      </c>
    </row>
    <row r="1157" spans="1:4">
      <c r="A1157" s="8">
        <v>2</v>
      </c>
      <c r="B1157" s="9">
        <v>4.282831988261189E-2</v>
      </c>
      <c r="C1157" s="8">
        <v>4.2553191489361701E-2</v>
      </c>
      <c r="D1157" s="8">
        <v>4.3103448275862072E-2</v>
      </c>
    </row>
    <row r="1158" spans="1:4">
      <c r="A1158" s="8">
        <v>3</v>
      </c>
      <c r="B1158" s="9">
        <v>6.9119286510590863E-2</v>
      </c>
      <c r="C1158" s="8">
        <v>5.128205128205128E-2</v>
      </c>
      <c r="D1158" s="8">
        <v>8.6956521739130432E-2</v>
      </c>
    </row>
    <row r="1159" spans="1:4">
      <c r="A1159" s="8">
        <v>4</v>
      </c>
      <c r="B1159" s="9">
        <v>8.5714285714285715E-2</v>
      </c>
      <c r="C1159" s="8">
        <v>7.1428571428571425E-2</v>
      </c>
      <c r="D1159" s="8">
        <v>0.1</v>
      </c>
    </row>
    <row r="1160" spans="1:4">
      <c r="A1160" s="8">
        <v>5</v>
      </c>
      <c r="B1160" s="9">
        <v>7.2846283783783786E-2</v>
      </c>
      <c r="C1160" s="8">
        <v>6.7567567567567571E-2</v>
      </c>
      <c r="D1160" s="8">
        <v>7.8125E-2</v>
      </c>
    </row>
    <row r="1161" spans="1:4">
      <c r="A1161" s="8">
        <v>6</v>
      </c>
      <c r="B1161" s="9">
        <v>7.3295477427409286E-2</v>
      </c>
      <c r="C1161" s="8">
        <v>7.1684587813620068E-2</v>
      </c>
      <c r="D1161" s="8">
        <v>7.4906367041198504E-2</v>
      </c>
    </row>
    <row r="1162" spans="1:4">
      <c r="A1162" s="8">
        <v>7</v>
      </c>
      <c r="B1162" s="9">
        <v>6.7221223021582732E-2</v>
      </c>
      <c r="C1162" s="8">
        <v>6.25E-2</v>
      </c>
      <c r="D1162" s="8">
        <v>7.1942446043165464E-2</v>
      </c>
    </row>
    <row r="1163" spans="1:4">
      <c r="A1163" s="8">
        <v>8</v>
      </c>
      <c r="B1163" s="9">
        <v>6.967670011148272E-2</v>
      </c>
      <c r="C1163" s="8">
        <v>6.6889632107023408E-2</v>
      </c>
      <c r="D1163" s="8">
        <v>7.2463768115942032E-2</v>
      </c>
    </row>
    <row r="1164" spans="1:4">
      <c r="A1164" s="8">
        <v>9</v>
      </c>
      <c r="B1164" s="9">
        <v>7.1050642479213916E-2</v>
      </c>
      <c r="C1164" s="8">
        <v>6.8027210884353748E-2</v>
      </c>
      <c r="D1164" s="8">
        <v>7.407407407407407E-2</v>
      </c>
    </row>
    <row r="1165" spans="1:4">
      <c r="A1165" s="8">
        <v>10</v>
      </c>
      <c r="B1165" s="9">
        <v>7.2954985550017282E-2</v>
      </c>
      <c r="C1165" s="8">
        <v>7.1890726096333582E-2</v>
      </c>
      <c r="D1165" s="8">
        <v>7.4019245003700967E-2</v>
      </c>
    </row>
    <row r="1166" spans="1:4">
      <c r="A1166" s="8">
        <v>11</v>
      </c>
      <c r="B1166" s="9">
        <v>7.6737692872887592E-2</v>
      </c>
      <c r="C1166" s="8">
        <v>7.3475385745775168E-2</v>
      </c>
      <c r="D1166" s="8">
        <v>0.08</v>
      </c>
    </row>
    <row r="1167" spans="1:4">
      <c r="A1167" s="8">
        <v>12</v>
      </c>
      <c r="B1167" s="9">
        <v>7.0532915360501575E-2</v>
      </c>
      <c r="C1167" s="8">
        <v>6.2695924764890276E-2</v>
      </c>
      <c r="D1167" s="8">
        <v>7.8369905956112859E-2</v>
      </c>
    </row>
    <row r="1168" spans="1:4">
      <c r="A1168" s="8">
        <v>1849</v>
      </c>
      <c r="B1168" s="9">
        <v>6.6167203472902961E-2</v>
      </c>
      <c r="C1168" s="8">
        <v>6.4766839378238336E-2</v>
      </c>
      <c r="D1168" s="8">
        <v>6.7567567567567571E-2</v>
      </c>
    </row>
    <row r="1169" spans="1:4">
      <c r="A1169" s="8">
        <v>2</v>
      </c>
      <c r="B1169" s="9">
        <v>6.2905814525718182E-2</v>
      </c>
      <c r="C1169" s="8">
        <v>5.963029218843173E-2</v>
      </c>
      <c r="D1169" s="8">
        <v>6.6181336863004633E-2</v>
      </c>
    </row>
    <row r="1170" spans="1:4">
      <c r="A1170" s="8">
        <v>3</v>
      </c>
      <c r="B1170" s="9">
        <v>5.8761511984867752E-2</v>
      </c>
      <c r="C1170" s="8">
        <v>5.6022408963585436E-2</v>
      </c>
      <c r="D1170" s="8">
        <v>6.1500615006150061E-2</v>
      </c>
    </row>
    <row r="1171" spans="1:4">
      <c r="A1171" s="8">
        <v>4</v>
      </c>
      <c r="B1171" s="9">
        <v>5.6559783547291465E-2</v>
      </c>
      <c r="C1171" s="8">
        <v>5.5648302726766838E-2</v>
      </c>
      <c r="D1171" s="8">
        <v>5.7471264367816091E-2</v>
      </c>
    </row>
    <row r="1172" spans="1:4">
      <c r="A1172" s="8">
        <v>5</v>
      </c>
      <c r="B1172" s="9">
        <v>6.0595567867036008E-2</v>
      </c>
      <c r="C1172" s="8">
        <v>5.5401662049861494E-2</v>
      </c>
      <c r="D1172" s="8">
        <v>6.5789473684210523E-2</v>
      </c>
    </row>
    <row r="1173" spans="1:4">
      <c r="A1173" s="8">
        <v>6</v>
      </c>
      <c r="B1173" s="9">
        <v>5.9655160180224931E-2</v>
      </c>
      <c r="C1173" s="8">
        <v>5.6338028169014086E-2</v>
      </c>
      <c r="D1173" s="8">
        <v>6.2972292191435769E-2</v>
      </c>
    </row>
    <row r="1174" spans="1:4">
      <c r="A1174" s="8">
        <v>7</v>
      </c>
      <c r="B1174" s="9">
        <v>5.7109040281192326E-2</v>
      </c>
      <c r="C1174" s="8">
        <v>5.6179775280898875E-2</v>
      </c>
      <c r="D1174" s="8">
        <v>5.8038305281485777E-2</v>
      </c>
    </row>
    <row r="1175" spans="1:4">
      <c r="A1175" s="8">
        <v>8</v>
      </c>
      <c r="B1175" s="9">
        <v>5.6348329819631379E-2</v>
      </c>
      <c r="C1175" s="8">
        <v>5.5586436909394105E-2</v>
      </c>
      <c r="D1175" s="8">
        <v>5.7110222729868647E-2</v>
      </c>
    </row>
    <row r="1176" spans="1:4">
      <c r="A1176" s="8">
        <v>9</v>
      </c>
      <c r="B1176" s="9">
        <v>5.5647717143706053E-2</v>
      </c>
      <c r="C1176" s="8">
        <v>5.434782608695652E-2</v>
      </c>
      <c r="D1176" s="8">
        <v>5.6947608200455579E-2</v>
      </c>
    </row>
    <row r="1177" spans="1:4">
      <c r="A1177" s="8">
        <v>10</v>
      </c>
      <c r="B1177" s="9">
        <v>5.6921852807928761E-2</v>
      </c>
      <c r="C1177" s="8">
        <v>5.6306306306306307E-2</v>
      </c>
      <c r="D1177" s="8">
        <v>5.7537399309551207E-2</v>
      </c>
    </row>
    <row r="1178" spans="1:4">
      <c r="A1178" s="8">
        <v>11</v>
      </c>
      <c r="B1178" s="9">
        <v>5.6373994195178238E-2</v>
      </c>
      <c r="C1178" s="8">
        <v>5.5309734513274332E-2</v>
      </c>
      <c r="D1178" s="8">
        <v>5.7438253877082138E-2</v>
      </c>
    </row>
    <row r="1179" spans="1:4">
      <c r="A1179" s="8">
        <v>12</v>
      </c>
      <c r="B1179" s="9">
        <v>5.4870502003390352E-2</v>
      </c>
      <c r="C1179" s="8">
        <v>5.3937432578209273E-2</v>
      </c>
      <c r="D1179" s="8">
        <v>5.5803571428571432E-2</v>
      </c>
    </row>
    <row r="1180" spans="1:4">
      <c r="A1180" s="8">
        <v>1850</v>
      </c>
      <c r="B1180" s="9">
        <v>5.3221553440726002E-2</v>
      </c>
      <c r="C1180" s="8">
        <v>5.2301255230125528E-2</v>
      </c>
      <c r="D1180" s="8">
        <v>5.4141851651326477E-2</v>
      </c>
    </row>
    <row r="1181" spans="1:4">
      <c r="A1181" s="8">
        <v>2</v>
      </c>
      <c r="B1181" s="9">
        <v>5.2238948508686482E-2</v>
      </c>
      <c r="C1181" s="8">
        <v>5.1679586563307491E-2</v>
      </c>
      <c r="D1181" s="8">
        <v>5.2798310454065467E-2</v>
      </c>
    </row>
    <row r="1182" spans="1:4">
      <c r="A1182" s="8">
        <v>3</v>
      </c>
      <c r="B1182" s="9">
        <v>5.4102624043013268E-2</v>
      </c>
      <c r="C1182" s="8">
        <v>5.1867219917012444E-2</v>
      </c>
      <c r="D1182" s="8">
        <v>5.6338028169014086E-2</v>
      </c>
    </row>
    <row r="1183" spans="1:4">
      <c r="A1183" s="8">
        <v>4</v>
      </c>
      <c r="B1183" s="9">
        <v>5.6508814391894549E-2</v>
      </c>
      <c r="C1183" s="8">
        <v>5.5413942147844397E-2</v>
      </c>
      <c r="D1183" s="8">
        <v>5.7603686635944701E-2</v>
      </c>
    </row>
    <row r="1184" spans="1:4">
      <c r="A1184" s="8">
        <v>5</v>
      </c>
      <c r="B1184" s="9">
        <v>5.5745720057161087E-2</v>
      </c>
      <c r="C1184" s="8">
        <v>5.3821313240043051E-2</v>
      </c>
      <c r="D1184" s="8">
        <v>5.7670126874279123E-2</v>
      </c>
    </row>
    <row r="1185" spans="1:4">
      <c r="A1185" s="8">
        <v>6</v>
      </c>
      <c r="B1185" s="9">
        <v>5.3342816500711238E-2</v>
      </c>
      <c r="C1185" s="8">
        <v>5.2631578947368418E-2</v>
      </c>
      <c r="D1185" s="8">
        <v>5.4054054054054057E-2</v>
      </c>
    </row>
    <row r="1186" spans="1:4">
      <c r="A1186" s="8">
        <v>7</v>
      </c>
      <c r="B1186" s="9">
        <v>5.2315007484712496E-2</v>
      </c>
      <c r="C1186" s="8">
        <v>5.1466803911477094E-2</v>
      </c>
      <c r="D1186" s="8">
        <v>5.3163211057947898E-2</v>
      </c>
    </row>
    <row r="1187" spans="1:4">
      <c r="A1187" s="8">
        <v>8</v>
      </c>
      <c r="B1187" s="9">
        <v>5.1574086880658787E-2</v>
      </c>
      <c r="C1187" s="8">
        <v>5.1334702258726897E-2</v>
      </c>
      <c r="D1187" s="8">
        <v>5.181347150259067E-2</v>
      </c>
    </row>
    <row r="1188" spans="1:4">
      <c r="A1188" s="8">
        <v>9</v>
      </c>
      <c r="B1188" s="9">
        <v>5.281484000825188E-2</v>
      </c>
      <c r="C1188" s="8">
        <v>5.1546391752577317E-2</v>
      </c>
      <c r="D1188" s="8">
        <v>5.4083288263926443E-2</v>
      </c>
    </row>
    <row r="1189" spans="1:4">
      <c r="A1189" s="8">
        <v>10</v>
      </c>
      <c r="B1189" s="9">
        <v>5.4173371219189873E-2</v>
      </c>
      <c r="C1189" s="8">
        <v>5.3401687493324794E-2</v>
      </c>
      <c r="D1189" s="8">
        <v>5.4945054945054944E-2</v>
      </c>
    </row>
    <row r="1190" spans="1:4">
      <c r="A1190" s="8">
        <v>11</v>
      </c>
      <c r="B1190" s="9">
        <v>5.4246271010133823E-2</v>
      </c>
      <c r="C1190" s="8">
        <v>5.3304904051172712E-2</v>
      </c>
      <c r="D1190" s="8">
        <v>5.5187637969094927E-2</v>
      </c>
    </row>
    <row r="1191" spans="1:4">
      <c r="A1191" s="8">
        <v>12</v>
      </c>
      <c r="B1191" s="9">
        <v>5.290568487745359E-2</v>
      </c>
      <c r="C1191" s="8">
        <v>5.2192066805845511E-2</v>
      </c>
      <c r="D1191" s="8">
        <v>5.3619302949061663E-2</v>
      </c>
    </row>
    <row r="1192" spans="1:4">
      <c r="A1192" s="8">
        <v>1851</v>
      </c>
      <c r="B1192" s="9">
        <v>5.2502480432146399E-2</v>
      </c>
      <c r="C1192" s="8">
        <v>5.181347150259067E-2</v>
      </c>
      <c r="D1192" s="8">
        <v>5.3191489361702128E-2</v>
      </c>
    </row>
    <row r="1193" spans="1:4">
      <c r="A1193" s="8">
        <v>2</v>
      </c>
      <c r="B1193" s="9">
        <v>5.1707980915637657E-2</v>
      </c>
      <c r="C1193" s="8">
        <v>5.1413881748071981E-2</v>
      </c>
      <c r="D1193" s="8">
        <v>5.2002080083203325E-2</v>
      </c>
    </row>
    <row r="1194" spans="1:4">
      <c r="A1194" s="8">
        <v>3</v>
      </c>
      <c r="B1194" s="9">
        <v>5.2466460268317854E-2</v>
      </c>
      <c r="C1194" s="8">
        <v>5.159958720330237E-2</v>
      </c>
      <c r="D1194" s="8">
        <v>5.3333333333333337E-2</v>
      </c>
    </row>
    <row r="1195" spans="1:4">
      <c r="A1195" s="8">
        <v>4</v>
      </c>
      <c r="B1195" s="9">
        <v>5.4444444444444448E-2</v>
      </c>
      <c r="C1195" s="8">
        <v>5.3333333333333337E-2</v>
      </c>
      <c r="D1195" s="8">
        <v>5.5555555555555552E-2</v>
      </c>
    </row>
    <row r="1196" spans="1:4">
      <c r="A1196" s="8">
        <v>5</v>
      </c>
      <c r="B1196" s="9">
        <v>5.5392780990657933E-2</v>
      </c>
      <c r="C1196" s="8">
        <v>5.4794520547945202E-2</v>
      </c>
      <c r="D1196" s="8">
        <v>5.5991041433370664E-2</v>
      </c>
    </row>
    <row r="1197" spans="1:4">
      <c r="A1197" s="8">
        <v>6</v>
      </c>
      <c r="B1197" s="9">
        <v>5.4276761417851552E-2</v>
      </c>
      <c r="C1197" s="8">
        <v>5.3304904051172712E-2</v>
      </c>
      <c r="D1197" s="8">
        <v>5.5248618784530384E-2</v>
      </c>
    </row>
    <row r="1198" spans="1:4">
      <c r="A1198" s="8">
        <v>7</v>
      </c>
      <c r="B1198" s="9">
        <v>5.2835416978338871E-2</v>
      </c>
      <c r="C1198" s="8">
        <v>5.213764337851929E-2</v>
      </c>
      <c r="D1198" s="8">
        <v>5.3533190578158453E-2</v>
      </c>
    </row>
    <row r="1199" spans="1:4">
      <c r="A1199" s="8">
        <v>8</v>
      </c>
      <c r="B1199" s="9">
        <v>5.258327066837705E-2</v>
      </c>
      <c r="C1199" s="8">
        <v>5.1975051975051971E-2</v>
      </c>
      <c r="D1199" s="8">
        <v>5.3191489361702128E-2</v>
      </c>
    </row>
    <row r="1200" spans="1:4">
      <c r="A1200" s="8">
        <v>9</v>
      </c>
      <c r="B1200" s="9">
        <v>5.401724059984804E-2</v>
      </c>
      <c r="C1200" s="8">
        <v>5.293806246691371E-2</v>
      </c>
      <c r="D1200" s="8">
        <v>5.5096418732782371E-2</v>
      </c>
    </row>
    <row r="1201" spans="1:4">
      <c r="A1201" s="8">
        <v>10</v>
      </c>
      <c r="B1201" s="9">
        <v>5.4986495207952638E-2</v>
      </c>
      <c r="C1201" s="8">
        <v>5.4200542005420058E-2</v>
      </c>
      <c r="D1201" s="8">
        <v>5.5772448410485218E-2</v>
      </c>
    </row>
    <row r="1202" spans="1:4">
      <c r="A1202" s="8">
        <v>11</v>
      </c>
      <c r="B1202" s="9">
        <v>5.4938356176785323E-2</v>
      </c>
      <c r="C1202" s="8">
        <v>5.425935973955507E-2</v>
      </c>
      <c r="D1202" s="8">
        <v>5.5617352614015569E-2</v>
      </c>
    </row>
    <row r="1203" spans="1:4">
      <c r="A1203" s="8">
        <v>12</v>
      </c>
      <c r="B1203" s="9">
        <v>5.23302060518889E-2</v>
      </c>
      <c r="C1203" s="8">
        <v>4.8543689320388349E-2</v>
      </c>
      <c r="D1203" s="8">
        <v>5.6116722783389451E-2</v>
      </c>
    </row>
    <row r="1204" spans="1:4">
      <c r="A1204" s="8">
        <v>1852</v>
      </c>
      <c r="B1204" s="9">
        <v>4.8165536428447224E-2</v>
      </c>
      <c r="C1204" s="8">
        <v>4.6948356807511735E-2</v>
      </c>
      <c r="D1204" s="8">
        <v>4.9382716049382713E-2</v>
      </c>
    </row>
    <row r="1205" spans="1:4">
      <c r="A1205" s="8">
        <v>2</v>
      </c>
      <c r="B1205" s="9">
        <v>4.8454161987146499E-2</v>
      </c>
      <c r="C1205" s="8">
        <v>4.7984644913627639E-2</v>
      </c>
      <c r="D1205" s="8">
        <v>4.8923679060665359E-2</v>
      </c>
    </row>
    <row r="1206" spans="1:4">
      <c r="A1206" s="8">
        <v>3</v>
      </c>
      <c r="B1206" s="9">
        <v>4.8701221794270499E-2</v>
      </c>
      <c r="C1206" s="8">
        <v>4.6948356807511735E-2</v>
      </c>
      <c r="D1206" s="8">
        <v>5.0454086781029264E-2</v>
      </c>
    </row>
    <row r="1207" spans="1:4">
      <c r="A1207" s="8">
        <v>4</v>
      </c>
      <c r="B1207" s="9">
        <v>4.9678091887441739E-2</v>
      </c>
      <c r="C1207" s="8">
        <v>4.9455984174085067E-2</v>
      </c>
      <c r="D1207" s="8">
        <v>4.9900199600798403E-2</v>
      </c>
    </row>
    <row r="1208" spans="1:4">
      <c r="A1208" s="8">
        <v>5</v>
      </c>
    </row>
    <row r="1209" spans="1:4">
      <c r="A1209" s="8">
        <v>6</v>
      </c>
    </row>
    <row r="1210" spans="1:4">
      <c r="A1210" s="8">
        <v>7</v>
      </c>
    </row>
    <row r="1211" spans="1:4">
      <c r="A1211" s="8">
        <v>8</v>
      </c>
    </row>
    <row r="1212" spans="1:4">
      <c r="A1212" s="8">
        <v>9</v>
      </c>
    </row>
    <row r="1213" spans="1:4">
      <c r="A1213" s="8">
        <v>10</v>
      </c>
    </row>
    <row r="1214" spans="1:4">
      <c r="A1214" s="8">
        <v>11</v>
      </c>
    </row>
    <row r="1215" spans="1:4">
      <c r="A1215" s="8">
        <v>12</v>
      </c>
    </row>
    <row r="1216" spans="1:4">
      <c r="A1216" s="8">
        <v>1853</v>
      </c>
    </row>
    <row r="1217" spans="1:1">
      <c r="A1217" s="8">
        <v>2</v>
      </c>
    </row>
    <row r="1218" spans="1:1">
      <c r="A1218" s="8">
        <v>3</v>
      </c>
    </row>
    <row r="1219" spans="1:1">
      <c r="A1219" s="8">
        <v>4</v>
      </c>
    </row>
    <row r="1220" spans="1:1">
      <c r="A1220" s="8">
        <v>5</v>
      </c>
    </row>
    <row r="1221" spans="1:1">
      <c r="A1221" s="8">
        <v>6</v>
      </c>
    </row>
    <row r="1222" spans="1:1">
      <c r="A1222" s="8">
        <v>7</v>
      </c>
    </row>
    <row r="1223" spans="1:1">
      <c r="A1223" s="8">
        <v>8</v>
      </c>
    </row>
    <row r="1224" spans="1:1">
      <c r="A1224" s="8">
        <f>IF(A1212&gt;1750,A1212+1,A1212)</f>
        <v>9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3:DV250"/>
  <sheetViews>
    <sheetView workbookViewId="0"/>
  </sheetViews>
  <sheetFormatPr defaultRowHeight="12.75"/>
  <cols>
    <col min="1" max="126" width="9.140625" style="8"/>
    <col min="127" max="16384" width="9.140625" style="7"/>
  </cols>
  <sheetData>
    <row r="3" spans="2:126">
      <c r="C3" s="8" t="s">
        <v>226</v>
      </c>
      <c r="R3" s="8" t="s">
        <v>50</v>
      </c>
    </row>
    <row r="4" spans="2:126">
      <c r="C4" s="8" t="s">
        <v>225</v>
      </c>
      <c r="E4" s="8" t="s">
        <v>224</v>
      </c>
      <c r="J4" s="8" t="s">
        <v>223</v>
      </c>
      <c r="N4" s="8" t="s">
        <v>222</v>
      </c>
      <c r="R4" s="8" t="s">
        <v>221</v>
      </c>
      <c r="S4" s="8" t="s">
        <v>220</v>
      </c>
      <c r="U4" s="8" t="s">
        <v>218</v>
      </c>
      <c r="V4" s="8" t="s">
        <v>219</v>
      </c>
      <c r="W4" s="8" t="s">
        <v>218</v>
      </c>
      <c r="X4" s="8" t="s">
        <v>217</v>
      </c>
    </row>
    <row r="5" spans="2:126">
      <c r="C5" s="8">
        <v>1804</v>
      </c>
      <c r="D5" s="8">
        <v>1805</v>
      </c>
      <c r="F5" s="8">
        <v>1804</v>
      </c>
      <c r="G5" s="8" t="s">
        <v>206</v>
      </c>
      <c r="H5" s="8" t="s">
        <v>208</v>
      </c>
      <c r="I5" s="8" t="s">
        <v>207</v>
      </c>
      <c r="J5" s="8">
        <v>1805</v>
      </c>
      <c r="K5" s="8" t="s">
        <v>206</v>
      </c>
      <c r="L5" s="8" t="s">
        <v>208</v>
      </c>
      <c r="M5" s="8" t="s">
        <v>207</v>
      </c>
      <c r="N5" s="8" t="s">
        <v>216</v>
      </c>
      <c r="R5" s="8" t="s">
        <v>215</v>
      </c>
      <c r="U5" s="8" t="s">
        <v>214</v>
      </c>
      <c r="V5" s="8" t="s">
        <v>213</v>
      </c>
      <c r="W5" s="8" t="s">
        <v>212</v>
      </c>
      <c r="X5" s="8" t="s">
        <v>211</v>
      </c>
      <c r="Y5" s="8" t="s">
        <v>210</v>
      </c>
    </row>
    <row r="6" spans="2:126">
      <c r="B6" s="8" t="s">
        <v>205</v>
      </c>
      <c r="C6" s="8">
        <v>0</v>
      </c>
      <c r="D6" s="8">
        <v>0</v>
      </c>
      <c r="F6" s="8">
        <v>5</v>
      </c>
      <c r="J6" s="8">
        <v>4</v>
      </c>
      <c r="N6" s="8" t="s">
        <v>209</v>
      </c>
      <c r="O6" s="8" t="s">
        <v>206</v>
      </c>
      <c r="P6" s="8" t="s">
        <v>208</v>
      </c>
      <c r="Q6" s="8" t="s">
        <v>207</v>
      </c>
      <c r="S6" s="8">
        <v>1805</v>
      </c>
      <c r="T6" s="8">
        <v>1804</v>
      </c>
      <c r="V6" s="8" t="s">
        <v>206</v>
      </c>
      <c r="Z6" s="8" t="s">
        <v>205</v>
      </c>
    </row>
    <row r="7" spans="2:126">
      <c r="B7" s="8">
        <v>1701</v>
      </c>
      <c r="C7" s="8">
        <v>0</v>
      </c>
      <c r="D7" s="8">
        <v>0</v>
      </c>
      <c r="F7" s="8">
        <v>1</v>
      </c>
      <c r="J7" s="8">
        <v>1</v>
      </c>
      <c r="N7" s="8">
        <f t="shared" ref="N7:N28" si="0">-J7+F7</f>
        <v>0</v>
      </c>
      <c r="R7" s="8">
        <f t="shared" ref="R7:R28" si="1">SUM(N7:Q7)</f>
        <v>0</v>
      </c>
      <c r="S7" s="8">
        <f t="shared" ref="S7:S28" si="2">SUM(J7:M7)</f>
        <v>1</v>
      </c>
      <c r="T7" s="8">
        <f t="shared" ref="T7:T28" si="3">SUM(F7:I7)</f>
        <v>1</v>
      </c>
      <c r="U7" s="8">
        <f t="shared" ref="U7:U28" si="4">R7/T7</f>
        <v>0</v>
      </c>
      <c r="V7" s="8">
        <f t="shared" ref="V7:V28" si="5">D7+O7</f>
        <v>0</v>
      </c>
      <c r="W7" s="8">
        <f t="shared" ref="W7:W28" si="6">V7/F7</f>
        <v>0</v>
      </c>
      <c r="Z7" s="8">
        <v>1701</v>
      </c>
    </row>
    <row r="8" spans="2:126">
      <c r="B8" s="8">
        <v>1702</v>
      </c>
      <c r="C8" s="8">
        <v>0</v>
      </c>
      <c r="D8" s="8">
        <v>0</v>
      </c>
      <c r="F8" s="8">
        <v>2</v>
      </c>
      <c r="J8" s="8">
        <v>2</v>
      </c>
      <c r="N8" s="8">
        <f t="shared" si="0"/>
        <v>0</v>
      </c>
      <c r="O8" s="8">
        <f t="shared" ref="O8:O28" si="7">-K8+G8</f>
        <v>0</v>
      </c>
      <c r="P8" s="8">
        <f t="shared" ref="P8:P28" si="8">-L8+H8</f>
        <v>0</v>
      </c>
      <c r="Q8" s="8">
        <f t="shared" ref="Q8:Q28" si="9">-M8+I8</f>
        <v>0</v>
      </c>
      <c r="R8" s="8">
        <f t="shared" si="1"/>
        <v>0</v>
      </c>
      <c r="S8" s="8">
        <f t="shared" si="2"/>
        <v>2</v>
      </c>
      <c r="T8" s="8">
        <f t="shared" si="3"/>
        <v>2</v>
      </c>
      <c r="U8" s="8">
        <f t="shared" si="4"/>
        <v>0</v>
      </c>
      <c r="V8" s="8">
        <f t="shared" si="5"/>
        <v>0</v>
      </c>
      <c r="W8" s="8">
        <f t="shared" si="6"/>
        <v>0</v>
      </c>
      <c r="Z8" s="8">
        <v>1702</v>
      </c>
    </row>
    <row r="9" spans="2:126">
      <c r="B9" s="8">
        <v>1703</v>
      </c>
      <c r="C9" s="8">
        <v>0</v>
      </c>
      <c r="D9" s="8">
        <v>0</v>
      </c>
      <c r="F9" s="8">
        <v>1</v>
      </c>
      <c r="J9" s="8">
        <v>1</v>
      </c>
      <c r="N9" s="8">
        <f t="shared" si="0"/>
        <v>0</v>
      </c>
      <c r="O9" s="8">
        <f t="shared" si="7"/>
        <v>0</v>
      </c>
      <c r="P9" s="8">
        <f t="shared" si="8"/>
        <v>0</v>
      </c>
      <c r="Q9" s="8">
        <f t="shared" si="9"/>
        <v>0</v>
      </c>
      <c r="R9" s="8">
        <f t="shared" si="1"/>
        <v>0</v>
      </c>
      <c r="S9" s="8">
        <f t="shared" si="2"/>
        <v>1</v>
      </c>
      <c r="T9" s="8">
        <f t="shared" si="3"/>
        <v>1</v>
      </c>
      <c r="U9" s="8">
        <f t="shared" si="4"/>
        <v>0</v>
      </c>
      <c r="V9" s="8">
        <f t="shared" si="5"/>
        <v>0</v>
      </c>
      <c r="W9" s="8">
        <f t="shared" si="6"/>
        <v>0</v>
      </c>
      <c r="Z9" s="8">
        <v>1703</v>
      </c>
    </row>
    <row r="10" spans="2:126">
      <c r="B10" s="8">
        <v>1704</v>
      </c>
      <c r="C10" s="8">
        <v>0</v>
      </c>
      <c r="D10" s="8">
        <v>0</v>
      </c>
      <c r="F10" s="8">
        <v>3</v>
      </c>
      <c r="J10" s="8">
        <v>3</v>
      </c>
      <c r="N10" s="8">
        <f t="shared" si="0"/>
        <v>0</v>
      </c>
      <c r="O10" s="8">
        <f t="shared" si="7"/>
        <v>0</v>
      </c>
      <c r="P10" s="8">
        <f t="shared" si="8"/>
        <v>0</v>
      </c>
      <c r="Q10" s="8">
        <f t="shared" si="9"/>
        <v>0</v>
      </c>
      <c r="R10" s="8">
        <f t="shared" si="1"/>
        <v>0</v>
      </c>
      <c r="S10" s="8">
        <f t="shared" si="2"/>
        <v>3</v>
      </c>
      <c r="T10" s="8">
        <f t="shared" si="3"/>
        <v>3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v>0</v>
      </c>
      <c r="Z10" s="8">
        <v>1704</v>
      </c>
    </row>
    <row r="11" spans="2:126">
      <c r="B11" s="8">
        <v>1705</v>
      </c>
      <c r="C11" s="8">
        <v>0</v>
      </c>
      <c r="D11" s="8">
        <v>1</v>
      </c>
      <c r="F11" s="8">
        <v>8</v>
      </c>
      <c r="J11" s="8">
        <v>7</v>
      </c>
      <c r="N11" s="8">
        <f t="shared" si="0"/>
        <v>1</v>
      </c>
      <c r="O11" s="8">
        <f t="shared" si="7"/>
        <v>0</v>
      </c>
      <c r="P11" s="8">
        <f t="shared" si="8"/>
        <v>0</v>
      </c>
      <c r="Q11" s="8">
        <f t="shared" si="9"/>
        <v>0</v>
      </c>
      <c r="R11" s="8">
        <f t="shared" si="1"/>
        <v>1</v>
      </c>
      <c r="S11" s="8">
        <f t="shared" si="2"/>
        <v>7</v>
      </c>
      <c r="T11" s="8">
        <f t="shared" si="3"/>
        <v>8</v>
      </c>
      <c r="U11" s="8">
        <f t="shared" si="4"/>
        <v>0.125</v>
      </c>
      <c r="V11" s="8">
        <f t="shared" si="5"/>
        <v>1</v>
      </c>
      <c r="W11" s="8">
        <f t="shared" si="6"/>
        <v>0.125</v>
      </c>
      <c r="X11" s="8">
        <v>1E-4</v>
      </c>
      <c r="Y11" s="8">
        <f t="shared" ref="Y11:Y28" si="10">-X10/X11+1</f>
        <v>1</v>
      </c>
      <c r="Z11" s="8">
        <v>1705</v>
      </c>
    </row>
    <row r="12" spans="2:126">
      <c r="B12" s="8">
        <v>1706</v>
      </c>
      <c r="C12" s="8">
        <v>2</v>
      </c>
      <c r="D12" s="8">
        <v>1</v>
      </c>
      <c r="F12" s="8">
        <v>9</v>
      </c>
      <c r="J12" s="8">
        <v>8</v>
      </c>
      <c r="N12" s="8">
        <f t="shared" si="0"/>
        <v>1</v>
      </c>
      <c r="O12" s="8">
        <f t="shared" si="7"/>
        <v>0</v>
      </c>
      <c r="P12" s="8">
        <f t="shared" si="8"/>
        <v>0</v>
      </c>
      <c r="Q12" s="8">
        <f t="shared" si="9"/>
        <v>0</v>
      </c>
      <c r="R12" s="8">
        <f t="shared" si="1"/>
        <v>1</v>
      </c>
      <c r="S12" s="8">
        <f t="shared" si="2"/>
        <v>8</v>
      </c>
      <c r="T12" s="8">
        <f t="shared" si="3"/>
        <v>9</v>
      </c>
      <c r="U12" s="8">
        <f t="shared" si="4"/>
        <v>0.1111111111111111</v>
      </c>
      <c r="V12" s="8">
        <f t="shared" si="5"/>
        <v>1</v>
      </c>
      <c r="W12" s="8">
        <f t="shared" si="6"/>
        <v>0.1111111111111111</v>
      </c>
      <c r="X12" s="8">
        <v>2.9999999999999997E-4</v>
      </c>
      <c r="Y12" s="8">
        <f t="shared" si="10"/>
        <v>0.66666666666666663</v>
      </c>
      <c r="Z12" s="8">
        <v>1706</v>
      </c>
    </row>
    <row r="13" spans="2:126">
      <c r="B13" s="8">
        <v>1707</v>
      </c>
      <c r="C13" s="8">
        <v>5</v>
      </c>
      <c r="D13" s="8">
        <v>1</v>
      </c>
      <c r="F13" s="8">
        <v>10</v>
      </c>
      <c r="J13" s="8">
        <v>9</v>
      </c>
      <c r="N13" s="8">
        <f t="shared" si="0"/>
        <v>1</v>
      </c>
      <c r="O13" s="8">
        <f t="shared" si="7"/>
        <v>0</v>
      </c>
      <c r="P13" s="8">
        <f t="shared" si="8"/>
        <v>0</v>
      </c>
      <c r="Q13" s="8">
        <f t="shared" si="9"/>
        <v>0</v>
      </c>
      <c r="R13" s="8">
        <f t="shared" si="1"/>
        <v>1</v>
      </c>
      <c r="S13" s="8">
        <f t="shared" si="2"/>
        <v>9</v>
      </c>
      <c r="T13" s="8">
        <f t="shared" si="3"/>
        <v>10</v>
      </c>
      <c r="U13" s="8">
        <f t="shared" si="4"/>
        <v>0.1</v>
      </c>
      <c r="V13" s="8">
        <f t="shared" si="5"/>
        <v>1</v>
      </c>
      <c r="W13" s="8">
        <f t="shared" si="6"/>
        <v>0.1</v>
      </c>
      <c r="X13" s="8">
        <v>5.0000000000000001E-4</v>
      </c>
      <c r="Y13" s="8">
        <f t="shared" si="10"/>
        <v>0.4</v>
      </c>
      <c r="Z13" s="8">
        <v>1707</v>
      </c>
    </row>
    <row r="14" spans="2:126">
      <c r="B14" s="8">
        <v>1708</v>
      </c>
      <c r="C14" s="8">
        <v>2</v>
      </c>
      <c r="D14" s="8">
        <v>1</v>
      </c>
      <c r="F14" s="8">
        <v>25</v>
      </c>
      <c r="J14" s="8">
        <v>24</v>
      </c>
      <c r="N14" s="8">
        <f t="shared" si="0"/>
        <v>1</v>
      </c>
      <c r="O14" s="8">
        <f t="shared" si="7"/>
        <v>0</v>
      </c>
      <c r="P14" s="8">
        <f t="shared" si="8"/>
        <v>0</v>
      </c>
      <c r="Q14" s="8">
        <f t="shared" si="9"/>
        <v>0</v>
      </c>
      <c r="R14" s="8">
        <f t="shared" si="1"/>
        <v>1</v>
      </c>
      <c r="S14" s="8">
        <f t="shared" si="2"/>
        <v>24</v>
      </c>
      <c r="T14" s="8">
        <f t="shared" si="3"/>
        <v>25</v>
      </c>
      <c r="U14" s="8">
        <f t="shared" si="4"/>
        <v>0.04</v>
      </c>
      <c r="V14" s="8">
        <f t="shared" si="5"/>
        <v>1</v>
      </c>
      <c r="W14" s="8">
        <f t="shared" si="6"/>
        <v>0.04</v>
      </c>
      <c r="X14" s="8">
        <v>1.1999999999999999E-3</v>
      </c>
      <c r="Y14" s="8">
        <f t="shared" si="10"/>
        <v>0.58333333333333326</v>
      </c>
      <c r="Z14" s="8">
        <v>1708</v>
      </c>
    </row>
    <row r="15" spans="2:126">
      <c r="B15" s="8">
        <v>1709</v>
      </c>
      <c r="C15" s="8">
        <v>3</v>
      </c>
      <c r="D15" s="8">
        <v>3</v>
      </c>
      <c r="F15" s="8">
        <v>41</v>
      </c>
      <c r="G15" s="8">
        <v>1</v>
      </c>
      <c r="J15" s="8">
        <v>38</v>
      </c>
      <c r="N15" s="8">
        <f t="shared" si="0"/>
        <v>3</v>
      </c>
      <c r="O15" s="8">
        <f t="shared" si="7"/>
        <v>1</v>
      </c>
      <c r="P15" s="8">
        <f t="shared" si="8"/>
        <v>0</v>
      </c>
      <c r="Q15" s="8">
        <f t="shared" si="9"/>
        <v>0</v>
      </c>
      <c r="R15" s="8">
        <f t="shared" si="1"/>
        <v>4</v>
      </c>
      <c r="S15" s="8">
        <f t="shared" si="2"/>
        <v>38</v>
      </c>
      <c r="T15" s="8">
        <f t="shared" si="3"/>
        <v>42</v>
      </c>
      <c r="U15" s="8">
        <f t="shared" si="4"/>
        <v>9.5238095238095233E-2</v>
      </c>
      <c r="V15" s="8">
        <f t="shared" si="5"/>
        <v>4</v>
      </c>
      <c r="W15" s="8">
        <f t="shared" si="6"/>
        <v>9.7560975609756101E-2</v>
      </c>
      <c r="X15" s="8">
        <v>2.5999999999999999E-3</v>
      </c>
      <c r="Y15" s="8">
        <f t="shared" si="10"/>
        <v>0.53846153846153855</v>
      </c>
      <c r="Z15" s="8">
        <v>1709</v>
      </c>
      <c r="DV15" s="10">
        <v>20</v>
      </c>
    </row>
    <row r="16" spans="2:126">
      <c r="B16" s="8">
        <v>1710</v>
      </c>
      <c r="C16" s="8">
        <v>4</v>
      </c>
      <c r="D16" s="8">
        <v>2</v>
      </c>
      <c r="F16" s="8">
        <v>55</v>
      </c>
      <c r="G16" s="8">
        <v>0</v>
      </c>
      <c r="J16" s="8">
        <v>53</v>
      </c>
      <c r="N16" s="8">
        <f t="shared" si="0"/>
        <v>2</v>
      </c>
      <c r="O16" s="8">
        <f t="shared" si="7"/>
        <v>0</v>
      </c>
      <c r="P16" s="8">
        <f t="shared" si="8"/>
        <v>0</v>
      </c>
      <c r="Q16" s="8">
        <f t="shared" si="9"/>
        <v>0</v>
      </c>
      <c r="R16" s="8">
        <f t="shared" si="1"/>
        <v>2</v>
      </c>
      <c r="S16" s="8">
        <f t="shared" si="2"/>
        <v>53</v>
      </c>
      <c r="T16" s="8">
        <f t="shared" si="3"/>
        <v>55</v>
      </c>
      <c r="U16" s="8">
        <f t="shared" si="4"/>
        <v>3.6363636363636362E-2</v>
      </c>
      <c r="V16" s="8">
        <f t="shared" si="5"/>
        <v>2</v>
      </c>
      <c r="W16" s="8">
        <f t="shared" si="6"/>
        <v>3.6363636363636362E-2</v>
      </c>
      <c r="X16" s="8">
        <v>4.1000000000000003E-3</v>
      </c>
      <c r="Y16" s="8">
        <f t="shared" si="10"/>
        <v>0.36585365853658547</v>
      </c>
      <c r="Z16" s="8">
        <v>1710</v>
      </c>
    </row>
    <row r="17" spans="2:26">
      <c r="B17" s="8">
        <v>1711</v>
      </c>
      <c r="C17" s="8">
        <v>4</v>
      </c>
      <c r="D17" s="8">
        <v>5</v>
      </c>
      <c r="F17" s="8">
        <v>56</v>
      </c>
      <c r="G17" s="8">
        <v>0</v>
      </c>
      <c r="J17" s="8">
        <v>51</v>
      </c>
      <c r="N17" s="8">
        <f t="shared" si="0"/>
        <v>5</v>
      </c>
      <c r="O17" s="8">
        <f t="shared" si="7"/>
        <v>0</v>
      </c>
      <c r="P17" s="8">
        <f t="shared" si="8"/>
        <v>0</v>
      </c>
      <c r="Q17" s="8">
        <f t="shared" si="9"/>
        <v>0</v>
      </c>
      <c r="R17" s="8">
        <f t="shared" si="1"/>
        <v>5</v>
      </c>
      <c r="S17" s="8">
        <f t="shared" si="2"/>
        <v>51</v>
      </c>
      <c r="T17" s="8">
        <f t="shared" si="3"/>
        <v>56</v>
      </c>
      <c r="U17" s="8">
        <f t="shared" si="4"/>
        <v>8.9285714285714288E-2</v>
      </c>
      <c r="V17" s="8">
        <f t="shared" si="5"/>
        <v>5</v>
      </c>
      <c r="W17" s="8">
        <f t="shared" si="6"/>
        <v>8.9285714285714288E-2</v>
      </c>
      <c r="X17" s="8">
        <v>6.3E-3</v>
      </c>
      <c r="Y17" s="8">
        <f t="shared" si="10"/>
        <v>0.34920634920634919</v>
      </c>
      <c r="Z17" s="8">
        <v>1711</v>
      </c>
    </row>
    <row r="18" spans="2:26">
      <c r="B18" s="8">
        <v>1712</v>
      </c>
      <c r="C18" s="8">
        <v>14</v>
      </c>
      <c r="D18" s="8">
        <v>6</v>
      </c>
      <c r="F18" s="8">
        <v>84</v>
      </c>
      <c r="G18" s="8">
        <v>2</v>
      </c>
      <c r="J18" s="8">
        <v>72</v>
      </c>
      <c r="K18" s="8">
        <v>2</v>
      </c>
      <c r="N18" s="8">
        <f t="shared" si="0"/>
        <v>12</v>
      </c>
      <c r="O18" s="8">
        <f t="shared" si="7"/>
        <v>0</v>
      </c>
      <c r="P18" s="8">
        <f t="shared" si="8"/>
        <v>0</v>
      </c>
      <c r="Q18" s="8">
        <f t="shared" si="9"/>
        <v>0</v>
      </c>
      <c r="R18" s="8">
        <f t="shared" si="1"/>
        <v>12</v>
      </c>
      <c r="S18" s="8">
        <f t="shared" si="2"/>
        <v>74</v>
      </c>
      <c r="T18" s="8">
        <f t="shared" si="3"/>
        <v>86</v>
      </c>
      <c r="U18" s="8">
        <f t="shared" si="4"/>
        <v>0.13953488372093023</v>
      </c>
      <c r="V18" s="8">
        <f t="shared" si="5"/>
        <v>6</v>
      </c>
      <c r="W18" s="8">
        <f t="shared" si="6"/>
        <v>7.1428571428571425E-2</v>
      </c>
      <c r="X18" s="8">
        <v>8.9999999999999993E-3</v>
      </c>
      <c r="Y18" s="8">
        <f t="shared" si="10"/>
        <v>0.29999999999999993</v>
      </c>
      <c r="Z18" s="8">
        <v>1712</v>
      </c>
    </row>
    <row r="19" spans="2:26">
      <c r="B19" s="8">
        <v>1713</v>
      </c>
      <c r="C19" s="8">
        <v>15</v>
      </c>
      <c r="D19" s="8">
        <v>3</v>
      </c>
      <c r="F19" s="8">
        <v>143</v>
      </c>
      <c r="G19" s="8">
        <v>2</v>
      </c>
      <c r="J19" s="8">
        <v>134</v>
      </c>
      <c r="K19" s="8">
        <v>2</v>
      </c>
      <c r="N19" s="8">
        <f t="shared" si="0"/>
        <v>9</v>
      </c>
      <c r="O19" s="8">
        <f t="shared" si="7"/>
        <v>0</v>
      </c>
      <c r="P19" s="8">
        <f t="shared" si="8"/>
        <v>0</v>
      </c>
      <c r="Q19" s="8">
        <f t="shared" si="9"/>
        <v>0</v>
      </c>
      <c r="R19" s="8">
        <f t="shared" si="1"/>
        <v>9</v>
      </c>
      <c r="S19" s="8">
        <f t="shared" si="2"/>
        <v>136</v>
      </c>
      <c r="T19" s="8">
        <f t="shared" si="3"/>
        <v>145</v>
      </c>
      <c r="U19" s="8">
        <f t="shared" si="4"/>
        <v>6.2068965517241378E-2</v>
      </c>
      <c r="V19" s="8">
        <f t="shared" si="5"/>
        <v>3</v>
      </c>
      <c r="W19" s="8">
        <f t="shared" si="6"/>
        <v>2.097902097902098E-2</v>
      </c>
      <c r="X19" s="8">
        <v>1.2500000000000001E-2</v>
      </c>
      <c r="Y19" s="8">
        <f t="shared" si="10"/>
        <v>0.28000000000000014</v>
      </c>
      <c r="Z19" s="8">
        <v>1713</v>
      </c>
    </row>
    <row r="20" spans="2:26">
      <c r="B20" s="8">
        <v>1714</v>
      </c>
      <c r="C20" s="8">
        <v>16</v>
      </c>
      <c r="D20" s="8">
        <v>24</v>
      </c>
      <c r="F20" s="8">
        <v>228</v>
      </c>
      <c r="G20" s="8">
        <v>1</v>
      </c>
      <c r="J20" s="8">
        <v>191</v>
      </c>
      <c r="K20" s="8">
        <v>1</v>
      </c>
      <c r="N20" s="8">
        <f t="shared" si="0"/>
        <v>37</v>
      </c>
      <c r="O20" s="8">
        <f t="shared" si="7"/>
        <v>0</v>
      </c>
      <c r="P20" s="8">
        <f t="shared" si="8"/>
        <v>0</v>
      </c>
      <c r="Q20" s="8">
        <f t="shared" si="9"/>
        <v>0</v>
      </c>
      <c r="R20" s="8">
        <f t="shared" si="1"/>
        <v>37</v>
      </c>
      <c r="S20" s="8">
        <f t="shared" si="2"/>
        <v>192</v>
      </c>
      <c r="T20" s="8">
        <f t="shared" si="3"/>
        <v>229</v>
      </c>
      <c r="U20" s="8">
        <f t="shared" si="4"/>
        <v>0.16157205240174671</v>
      </c>
      <c r="V20" s="8">
        <f t="shared" si="5"/>
        <v>24</v>
      </c>
      <c r="W20" s="8">
        <f t="shared" si="6"/>
        <v>0.10526315789473684</v>
      </c>
      <c r="X20" s="8">
        <v>1.6899999999999998E-2</v>
      </c>
      <c r="Y20" s="8">
        <f t="shared" si="10"/>
        <v>0.2603550295857987</v>
      </c>
      <c r="Z20" s="8">
        <v>1714</v>
      </c>
    </row>
    <row r="21" spans="2:26">
      <c r="B21" s="8">
        <v>1715</v>
      </c>
      <c r="C21" s="8">
        <v>22</v>
      </c>
      <c r="D21" s="8">
        <v>17</v>
      </c>
      <c r="F21" s="8">
        <v>228</v>
      </c>
      <c r="G21" s="8">
        <v>2</v>
      </c>
      <c r="J21" s="8">
        <v>199</v>
      </c>
      <c r="K21" s="8">
        <v>1</v>
      </c>
      <c r="N21" s="8">
        <f t="shared" si="0"/>
        <v>29</v>
      </c>
      <c r="O21" s="8">
        <f t="shared" si="7"/>
        <v>1</v>
      </c>
      <c r="P21" s="8">
        <f t="shared" si="8"/>
        <v>0</v>
      </c>
      <c r="Q21" s="8">
        <f t="shared" si="9"/>
        <v>0</v>
      </c>
      <c r="R21" s="8">
        <f t="shared" si="1"/>
        <v>30</v>
      </c>
      <c r="S21" s="8">
        <f t="shared" si="2"/>
        <v>200</v>
      </c>
      <c r="T21" s="8">
        <f t="shared" si="3"/>
        <v>230</v>
      </c>
      <c r="U21" s="8">
        <f t="shared" si="4"/>
        <v>0.13043478260869565</v>
      </c>
      <c r="V21" s="8">
        <f t="shared" si="5"/>
        <v>18</v>
      </c>
      <c r="W21" s="8">
        <f t="shared" si="6"/>
        <v>7.8947368421052627E-2</v>
      </c>
      <c r="X21" s="8">
        <v>2.23E-2</v>
      </c>
      <c r="Y21" s="8">
        <f t="shared" si="10"/>
        <v>0.24215246636771304</v>
      </c>
      <c r="Z21" s="8">
        <v>1715</v>
      </c>
    </row>
    <row r="22" spans="2:26">
      <c r="B22" s="8">
        <v>1716</v>
      </c>
      <c r="C22" s="8">
        <v>29</v>
      </c>
      <c r="D22" s="8">
        <v>21</v>
      </c>
      <c r="F22" s="8">
        <v>287</v>
      </c>
      <c r="G22" s="8">
        <v>1</v>
      </c>
      <c r="J22" s="8">
        <v>256</v>
      </c>
      <c r="K22" s="8">
        <v>1</v>
      </c>
      <c r="N22" s="8">
        <f t="shared" si="0"/>
        <v>31</v>
      </c>
      <c r="O22" s="8">
        <f t="shared" si="7"/>
        <v>0</v>
      </c>
      <c r="P22" s="8">
        <f t="shared" si="8"/>
        <v>0</v>
      </c>
      <c r="Q22" s="8">
        <f t="shared" si="9"/>
        <v>0</v>
      </c>
      <c r="R22" s="8">
        <f t="shared" si="1"/>
        <v>31</v>
      </c>
      <c r="S22" s="8">
        <f t="shared" si="2"/>
        <v>257</v>
      </c>
      <c r="T22" s="8">
        <f t="shared" si="3"/>
        <v>288</v>
      </c>
      <c r="U22" s="8">
        <f t="shared" si="4"/>
        <v>0.1076388888888889</v>
      </c>
      <c r="V22" s="8">
        <f t="shared" si="5"/>
        <v>21</v>
      </c>
      <c r="W22" s="8">
        <f t="shared" si="6"/>
        <v>7.3170731707317069E-2</v>
      </c>
      <c r="X22" s="8">
        <v>2.8799999999999999E-2</v>
      </c>
      <c r="Y22" s="8">
        <f t="shared" si="10"/>
        <v>0.22569444444444442</v>
      </c>
      <c r="Z22" s="8">
        <v>1716</v>
      </c>
    </row>
    <row r="23" spans="2:26">
      <c r="B23" s="8">
        <v>1717</v>
      </c>
      <c r="C23" s="8">
        <v>29</v>
      </c>
      <c r="D23" s="8">
        <v>20</v>
      </c>
      <c r="F23" s="8">
        <v>338</v>
      </c>
      <c r="G23" s="8">
        <v>3</v>
      </c>
      <c r="J23" s="8">
        <v>295</v>
      </c>
      <c r="K23" s="8">
        <v>1</v>
      </c>
      <c r="N23" s="8">
        <f t="shared" si="0"/>
        <v>43</v>
      </c>
      <c r="O23" s="8">
        <f t="shared" si="7"/>
        <v>2</v>
      </c>
      <c r="P23" s="8">
        <f t="shared" si="8"/>
        <v>0</v>
      </c>
      <c r="Q23" s="8">
        <f t="shared" si="9"/>
        <v>0</v>
      </c>
      <c r="R23" s="8">
        <f t="shared" si="1"/>
        <v>45</v>
      </c>
      <c r="S23" s="8">
        <f t="shared" si="2"/>
        <v>296</v>
      </c>
      <c r="T23" s="8">
        <f t="shared" si="3"/>
        <v>341</v>
      </c>
      <c r="U23" s="8">
        <f t="shared" si="4"/>
        <v>0.13196480938416422</v>
      </c>
      <c r="V23" s="8">
        <f t="shared" si="5"/>
        <v>22</v>
      </c>
      <c r="W23" s="8">
        <f t="shared" si="6"/>
        <v>6.5088757396449703E-2</v>
      </c>
      <c r="X23" s="8">
        <v>3.6299999999999999E-2</v>
      </c>
      <c r="Y23" s="8">
        <f t="shared" si="10"/>
        <v>0.20661157024793386</v>
      </c>
      <c r="Z23" s="8">
        <v>1717</v>
      </c>
    </row>
    <row r="24" spans="2:26">
      <c r="B24" s="8">
        <v>1718</v>
      </c>
      <c r="C24" s="8">
        <v>36</v>
      </c>
      <c r="D24" s="8">
        <v>23</v>
      </c>
      <c r="F24" s="8">
        <v>406</v>
      </c>
      <c r="G24" s="8">
        <v>2</v>
      </c>
      <c r="H24" s="8">
        <v>3</v>
      </c>
      <c r="J24" s="8">
        <v>373</v>
      </c>
      <c r="K24" s="8">
        <v>1</v>
      </c>
      <c r="L24" s="8">
        <v>3</v>
      </c>
      <c r="N24" s="8">
        <f t="shared" si="0"/>
        <v>33</v>
      </c>
      <c r="O24" s="8">
        <f t="shared" si="7"/>
        <v>1</v>
      </c>
      <c r="P24" s="8">
        <f t="shared" si="8"/>
        <v>0</v>
      </c>
      <c r="Q24" s="8">
        <f t="shared" si="9"/>
        <v>0</v>
      </c>
      <c r="R24" s="8">
        <f t="shared" si="1"/>
        <v>34</v>
      </c>
      <c r="S24" s="8">
        <f t="shared" si="2"/>
        <v>377</v>
      </c>
      <c r="T24" s="8">
        <f t="shared" si="3"/>
        <v>411</v>
      </c>
      <c r="U24" s="8">
        <f t="shared" si="4"/>
        <v>8.2725060827250604E-2</v>
      </c>
      <c r="V24" s="8">
        <f t="shared" si="5"/>
        <v>24</v>
      </c>
      <c r="W24" s="8">
        <f t="shared" si="6"/>
        <v>5.9113300492610835E-2</v>
      </c>
      <c r="X24" s="8">
        <v>4.4900000000000002E-2</v>
      </c>
      <c r="Y24" s="8">
        <f t="shared" si="10"/>
        <v>0.19153674832962142</v>
      </c>
      <c r="Z24" s="8">
        <v>1718</v>
      </c>
    </row>
    <row r="25" spans="2:26">
      <c r="B25" s="8">
        <v>1719</v>
      </c>
      <c r="C25" s="8">
        <v>42</v>
      </c>
      <c r="D25" s="8">
        <v>18</v>
      </c>
      <c r="F25" s="8">
        <v>411</v>
      </c>
      <c r="G25" s="8">
        <v>10</v>
      </c>
      <c r="H25" s="8">
        <v>0</v>
      </c>
      <c r="J25" s="8">
        <v>385</v>
      </c>
      <c r="K25" s="8">
        <v>10</v>
      </c>
      <c r="L25" s="8">
        <v>0</v>
      </c>
      <c r="N25" s="8">
        <f t="shared" si="0"/>
        <v>26</v>
      </c>
      <c r="O25" s="8">
        <f t="shared" si="7"/>
        <v>0</v>
      </c>
      <c r="P25" s="8">
        <f t="shared" si="8"/>
        <v>0</v>
      </c>
      <c r="Q25" s="8">
        <f t="shared" si="9"/>
        <v>0</v>
      </c>
      <c r="R25" s="8">
        <f t="shared" si="1"/>
        <v>26</v>
      </c>
      <c r="S25" s="8">
        <f t="shared" si="2"/>
        <v>395</v>
      </c>
      <c r="T25" s="8">
        <f t="shared" si="3"/>
        <v>421</v>
      </c>
      <c r="U25" s="8">
        <f t="shared" si="4"/>
        <v>6.1757719714964368E-2</v>
      </c>
      <c r="V25" s="8">
        <f t="shared" si="5"/>
        <v>18</v>
      </c>
      <c r="W25" s="8">
        <f t="shared" si="6"/>
        <v>4.3795620437956206E-2</v>
      </c>
      <c r="X25" s="8">
        <v>5.4600000000000003E-2</v>
      </c>
      <c r="Y25" s="8">
        <f t="shared" si="10"/>
        <v>0.17765567765567769</v>
      </c>
      <c r="Z25" s="8">
        <v>1719</v>
      </c>
    </row>
    <row r="26" spans="2:26">
      <c r="B26" s="8">
        <v>1720</v>
      </c>
      <c r="C26" s="8">
        <v>38</v>
      </c>
      <c r="D26" s="8">
        <v>42</v>
      </c>
      <c r="F26" s="8">
        <v>565</v>
      </c>
      <c r="G26" s="8">
        <v>7</v>
      </c>
      <c r="H26" s="8">
        <v>0</v>
      </c>
      <c r="J26" s="8">
        <v>504</v>
      </c>
      <c r="K26" s="8">
        <v>7</v>
      </c>
      <c r="L26" s="8">
        <v>0</v>
      </c>
      <c r="N26" s="8">
        <f t="shared" si="0"/>
        <v>61</v>
      </c>
      <c r="O26" s="8">
        <f t="shared" si="7"/>
        <v>0</v>
      </c>
      <c r="P26" s="8">
        <f t="shared" si="8"/>
        <v>0</v>
      </c>
      <c r="Q26" s="8">
        <f t="shared" si="9"/>
        <v>0</v>
      </c>
      <c r="R26" s="8">
        <f t="shared" si="1"/>
        <v>61</v>
      </c>
      <c r="S26" s="8">
        <f t="shared" si="2"/>
        <v>511</v>
      </c>
      <c r="T26" s="8">
        <f t="shared" si="3"/>
        <v>572</v>
      </c>
      <c r="U26" s="8">
        <f t="shared" si="4"/>
        <v>0.10664335664335664</v>
      </c>
      <c r="V26" s="8">
        <f t="shared" si="5"/>
        <v>42</v>
      </c>
      <c r="W26" s="8">
        <f t="shared" si="6"/>
        <v>7.4336283185840707E-2</v>
      </c>
      <c r="X26" s="8">
        <v>6.5299999999999997E-2</v>
      </c>
      <c r="Y26" s="8">
        <f t="shared" si="10"/>
        <v>0.16385911179173041</v>
      </c>
      <c r="Z26" s="8">
        <v>1720</v>
      </c>
    </row>
    <row r="27" spans="2:26">
      <c r="B27" s="8">
        <v>1721</v>
      </c>
      <c r="C27" s="8">
        <v>26</v>
      </c>
      <c r="D27" s="8">
        <v>34</v>
      </c>
      <c r="F27" s="8">
        <v>699</v>
      </c>
      <c r="G27" s="8">
        <v>9</v>
      </c>
      <c r="H27" s="8">
        <v>0</v>
      </c>
      <c r="J27" s="8">
        <v>650</v>
      </c>
      <c r="K27" s="8">
        <v>9</v>
      </c>
      <c r="L27" s="8">
        <v>0</v>
      </c>
      <c r="N27" s="8">
        <f t="shared" si="0"/>
        <v>49</v>
      </c>
      <c r="O27" s="8">
        <f t="shared" si="7"/>
        <v>0</v>
      </c>
      <c r="P27" s="8">
        <f t="shared" si="8"/>
        <v>0</v>
      </c>
      <c r="Q27" s="8">
        <f t="shared" si="9"/>
        <v>0</v>
      </c>
      <c r="R27" s="8">
        <f t="shared" si="1"/>
        <v>49</v>
      </c>
      <c r="S27" s="8">
        <f t="shared" si="2"/>
        <v>659</v>
      </c>
      <c r="T27" s="8">
        <f t="shared" si="3"/>
        <v>708</v>
      </c>
      <c r="U27" s="8">
        <f t="shared" si="4"/>
        <v>6.9209039548022599E-2</v>
      </c>
      <c r="V27" s="8">
        <f t="shared" si="5"/>
        <v>34</v>
      </c>
      <c r="W27" s="8">
        <f t="shared" si="6"/>
        <v>4.8640915593705293E-2</v>
      </c>
      <c r="X27" s="8">
        <v>7.6999999999999999E-2</v>
      </c>
      <c r="Y27" s="8">
        <f t="shared" si="10"/>
        <v>0.15194805194805194</v>
      </c>
      <c r="Z27" s="8">
        <v>1721</v>
      </c>
    </row>
    <row r="28" spans="2:26">
      <c r="B28" s="8">
        <v>1722</v>
      </c>
      <c r="C28" s="8">
        <v>48</v>
      </c>
      <c r="D28" s="8">
        <v>43</v>
      </c>
      <c r="F28" s="8">
        <v>850</v>
      </c>
      <c r="G28" s="8">
        <v>19</v>
      </c>
      <c r="H28" s="8">
        <v>1</v>
      </c>
      <c r="J28" s="8">
        <v>794</v>
      </c>
      <c r="K28" s="8">
        <v>19</v>
      </c>
      <c r="L28" s="8">
        <v>1</v>
      </c>
      <c r="N28" s="8">
        <f t="shared" si="0"/>
        <v>56</v>
      </c>
      <c r="O28" s="8">
        <f t="shared" si="7"/>
        <v>0</v>
      </c>
      <c r="P28" s="8">
        <f t="shared" si="8"/>
        <v>0</v>
      </c>
      <c r="Q28" s="8">
        <f t="shared" si="9"/>
        <v>0</v>
      </c>
      <c r="R28" s="8">
        <f t="shared" si="1"/>
        <v>56</v>
      </c>
      <c r="S28" s="8">
        <f t="shared" si="2"/>
        <v>814</v>
      </c>
      <c r="T28" s="8">
        <f t="shared" si="3"/>
        <v>870</v>
      </c>
      <c r="U28" s="8">
        <f t="shared" si="4"/>
        <v>6.4367816091954022E-2</v>
      </c>
      <c r="V28" s="8">
        <f t="shared" si="5"/>
        <v>43</v>
      </c>
      <c r="W28" s="8">
        <f t="shared" si="6"/>
        <v>5.0588235294117649E-2</v>
      </c>
      <c r="X28" s="8">
        <v>8.9599999999999999E-2</v>
      </c>
      <c r="Y28" s="8">
        <f t="shared" si="10"/>
        <v>0.140625</v>
      </c>
      <c r="Z28" s="8">
        <v>1722</v>
      </c>
    </row>
    <row r="30" spans="2:26">
      <c r="B30" s="8">
        <v>1723</v>
      </c>
    </row>
    <row r="245" spans="2:12">
      <c r="I245" s="9">
        <f>EXP(D245-E245)-1</f>
        <v>0</v>
      </c>
      <c r="K245" s="8">
        <f>EXP(E245)</f>
        <v>1</v>
      </c>
      <c r="L245" s="8">
        <f>EXP(D245)</f>
        <v>1</v>
      </c>
    </row>
    <row r="246" spans="2:12">
      <c r="B246" s="8">
        <v>10</v>
      </c>
      <c r="C246" s="8">
        <v>1797</v>
      </c>
      <c r="D246" s="8">
        <f>D245-$D$234+B246^2*$D$233</f>
        <v>0</v>
      </c>
      <c r="E246" s="8">
        <v>18.261157349978834</v>
      </c>
      <c r="F246" s="8">
        <f>F245-F$234</f>
        <v>0</v>
      </c>
      <c r="G246" s="9">
        <f>(F246-E246)/E246</f>
        <v>-1</v>
      </c>
      <c r="H246" s="9">
        <f>EXP(F246-E246)-1</f>
        <v>-0.99999998827048298</v>
      </c>
      <c r="I246" s="9">
        <f>EXP(D246-E246)-1</f>
        <v>-0.99999998827048298</v>
      </c>
      <c r="K246" s="8">
        <f>EXP(E246)</f>
        <v>85255002.263046697</v>
      </c>
      <c r="L246" s="8">
        <f>EXP(D246)</f>
        <v>1</v>
      </c>
    </row>
    <row r="247" spans="2:12">
      <c r="B247" s="8">
        <v>11</v>
      </c>
      <c r="C247" s="8">
        <v>1798</v>
      </c>
      <c r="D247" s="8">
        <f>D246-$D$234+B247^2*$D$233</f>
        <v>0</v>
      </c>
      <c r="E247" s="8">
        <v>18.242155207674113</v>
      </c>
      <c r="F247" s="8">
        <f>F246-F$234</f>
        <v>0</v>
      </c>
      <c r="G247" s="9">
        <f>(F247-E247)/E247</f>
        <v>-1</v>
      </c>
      <c r="H247" s="9">
        <f>EXP(F247-E247)-1</f>
        <v>-0.99999998804546586</v>
      </c>
      <c r="I247" s="9">
        <f>EXP(D247-E247)-1</f>
        <v>-0.99999998804546586</v>
      </c>
      <c r="K247" s="8">
        <f>EXP(E247)</f>
        <v>83650269.54390581</v>
      </c>
      <c r="L247" s="8">
        <f>EXP(D247)</f>
        <v>1</v>
      </c>
    </row>
    <row r="248" spans="2:12">
      <c r="B248" s="8">
        <v>12</v>
      </c>
      <c r="C248" s="8">
        <v>1799</v>
      </c>
      <c r="D248" s="8">
        <f>D247-$D$234+B248^2*$D$233</f>
        <v>0</v>
      </c>
      <c r="E248" s="8">
        <v>18.222804375700868</v>
      </c>
      <c r="F248" s="8">
        <f>F247-F$234</f>
        <v>0</v>
      </c>
      <c r="G248" s="9">
        <f>(F248-E248)/E248</f>
        <v>-1</v>
      </c>
      <c r="H248" s="9">
        <f>EXP(F248-E248)-1</f>
        <v>-0.99999998781188304</v>
      </c>
      <c r="I248" s="9">
        <f>EXP(D248-E248)-1</f>
        <v>-0.99999998781188304</v>
      </c>
      <c r="K248" s="8">
        <f>EXP(E248)</f>
        <v>82047128.316704974</v>
      </c>
      <c r="L248" s="8">
        <f>EXP(D248)</f>
        <v>1</v>
      </c>
    </row>
    <row r="249" spans="2:12">
      <c r="B249" s="8">
        <v>13</v>
      </c>
      <c r="C249" s="8">
        <v>1800</v>
      </c>
      <c r="D249" s="8">
        <f>D248-$D$234+B249^2*$D$233</f>
        <v>0</v>
      </c>
      <c r="E249" s="8">
        <v>18.203081082150408</v>
      </c>
      <c r="F249" s="8">
        <f>F248-F$234</f>
        <v>0</v>
      </c>
      <c r="G249" s="9">
        <f>(F249-E249)/E249</f>
        <v>-1</v>
      </c>
      <c r="H249" s="9">
        <f>EXP(F249-E249)-1</f>
        <v>-0.99999998756910691</v>
      </c>
      <c r="I249" s="9">
        <f>EXP(D249-E249)-1</f>
        <v>-0.99999998756910691</v>
      </c>
      <c r="K249" s="8">
        <f>EXP(E249)</f>
        <v>80444742.824433967</v>
      </c>
      <c r="L249" s="8">
        <f>EXP(D249)</f>
        <v>1</v>
      </c>
    </row>
    <row r="250" spans="2:12">
      <c r="B250" s="8">
        <v>2.3331590462580472E-302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63"/>
  <sheetViews>
    <sheetView workbookViewId="0"/>
  </sheetViews>
  <sheetFormatPr defaultRowHeight="12.75"/>
  <cols>
    <col min="1" max="14" width="9.140625" style="8"/>
    <col min="15" max="16384" width="9.140625" style="7"/>
  </cols>
  <sheetData>
    <row r="1" spans="1:14">
      <c r="A1" s="8" t="s">
        <v>130</v>
      </c>
      <c r="C1" s="8">
        <v>15</v>
      </c>
      <c r="D1" s="8">
        <v>14</v>
      </c>
      <c r="E1" s="8">
        <v>13</v>
      </c>
      <c r="F1" s="8">
        <v>12.5</v>
      </c>
      <c r="G1" s="8">
        <v>12</v>
      </c>
      <c r="H1" s="8">
        <v>11</v>
      </c>
      <c r="I1" s="8">
        <v>10</v>
      </c>
      <c r="J1" s="8">
        <v>9.5</v>
      </c>
      <c r="K1" s="8">
        <v>9</v>
      </c>
      <c r="L1" s="8">
        <v>8.5</v>
      </c>
      <c r="M1" s="8">
        <v>8</v>
      </c>
      <c r="N1" s="8">
        <v>7</v>
      </c>
    </row>
    <row r="2" spans="1:14">
      <c r="A2" s="8" t="s">
        <v>242</v>
      </c>
    </row>
    <row r="4" spans="1:14">
      <c r="A4" s="8" t="s">
        <v>129</v>
      </c>
    </row>
    <row r="5" spans="1:14">
      <c r="A5" s="8">
        <v>0</v>
      </c>
      <c r="C5" s="9">
        <v>4.058747038203564E-2</v>
      </c>
      <c r="D5" s="9">
        <v>4.4584965756741715E-2</v>
      </c>
      <c r="E5" s="9">
        <v>4.913979031609271E-2</v>
      </c>
      <c r="F5" s="9">
        <v>5.1668358428608237E-2</v>
      </c>
      <c r="G5" s="9">
        <v>5.4392613709314787E-2</v>
      </c>
      <c r="H5" s="9">
        <v>6.0536661896885613E-2</v>
      </c>
      <c r="I5" s="9">
        <v>6.7844566855366856E-2</v>
      </c>
      <c r="J5" s="9">
        <v>7.1842280150949275E-2</v>
      </c>
      <c r="K5" s="9">
        <v>7.6713310003901594E-2</v>
      </c>
      <c r="L5" s="9">
        <v>8.1909327577959976E-2</v>
      </c>
      <c r="M5" s="9">
        <v>8.7743143407750912E-2</v>
      </c>
      <c r="N5" s="9">
        <v>0.10188457645539867</v>
      </c>
    </row>
    <row r="6" spans="1:14">
      <c r="A6" s="8">
        <v>1</v>
      </c>
      <c r="C6" s="9">
        <v>4.9740719176002618E-2</v>
      </c>
      <c r="D6" s="9">
        <v>5.427351519158486E-2</v>
      </c>
      <c r="E6" s="9">
        <v>5.9452375477267165E-2</v>
      </c>
      <c r="F6" s="9">
        <v>6.2333115282160123E-2</v>
      </c>
      <c r="G6" s="9">
        <v>6.54408835956556E-2</v>
      </c>
      <c r="H6" s="9">
        <v>7.246334766972036E-2</v>
      </c>
      <c r="I6" s="9">
        <v>8.0835514491859925E-2</v>
      </c>
      <c r="J6" s="9">
        <v>8.5422227218421007E-2</v>
      </c>
      <c r="K6" s="9">
        <v>9.1015810502732816E-2</v>
      </c>
      <c r="L6" s="9">
        <v>9.6987059873355347E-2</v>
      </c>
      <c r="M6" s="9">
        <v>0.10369506790710811</v>
      </c>
      <c r="N6" s="9">
        <v>0.11996328070522634</v>
      </c>
    </row>
    <row r="7" spans="1:14">
      <c r="A7" s="8">
        <v>2</v>
      </c>
      <c r="C7" s="9">
        <v>5.2873433624598273E-2</v>
      </c>
      <c r="D7" s="9">
        <v>5.7599088170823744E-2</v>
      </c>
      <c r="E7" s="9">
        <v>6.3000574466107281E-2</v>
      </c>
      <c r="F7" s="9">
        <v>6.6005975731000116E-2</v>
      </c>
      <c r="G7" s="9">
        <v>6.9248744340112162E-2</v>
      </c>
      <c r="H7" s="9">
        <v>7.6577641966310811E-2</v>
      </c>
      <c r="I7" s="9">
        <v>8.5316343006051204E-2</v>
      </c>
      <c r="J7" s="9">
        <v>9.0103881392062074E-2</v>
      </c>
      <c r="K7" s="9">
        <v>9.5942013767567863E-2</v>
      </c>
      <c r="L7" s="9">
        <v>0.10217357014096051</v>
      </c>
      <c r="M7" s="9">
        <v>0.1091727306023461</v>
      </c>
      <c r="N7" s="9">
        <v>0.12613983859968642</v>
      </c>
    </row>
    <row r="8" spans="1:14">
      <c r="A8" s="8">
        <v>3</v>
      </c>
      <c r="C8" s="9">
        <v>5.4447063802927291E-2</v>
      </c>
      <c r="D8" s="9">
        <v>5.9277379657406974E-2</v>
      </c>
      <c r="E8" s="9">
        <v>6.4798633009292061E-2</v>
      </c>
      <c r="F8" s="9">
        <v>6.7870654042423928E-2</v>
      </c>
      <c r="G8" s="9">
        <v>7.1185236529598392E-2</v>
      </c>
      <c r="H8" s="9">
        <v>7.8675979508542104E-2</v>
      </c>
      <c r="I8" s="9">
        <v>8.7606399285560993E-2</v>
      </c>
      <c r="J8" s="9">
        <v>9.2498222491565765E-2</v>
      </c>
      <c r="K8" s="9">
        <v>9.8462695170583897E-2</v>
      </c>
      <c r="L8" s="9">
        <v>0.10482801516848224</v>
      </c>
      <c r="M8" s="9">
        <v>0.11197598900733509</v>
      </c>
      <c r="N8" s="9">
        <v>0.12929726322946636</v>
      </c>
    </row>
    <row r="9" spans="1:14">
      <c r="A9" s="8">
        <v>4</v>
      </c>
      <c r="C9" s="9">
        <v>5.5280591701292653E-2</v>
      </c>
      <c r="D9" s="9">
        <v>6.0174413418042638E-2</v>
      </c>
      <c r="E9" s="9">
        <v>6.576755165945336E-2</v>
      </c>
      <c r="F9" s="9">
        <v>6.8879228372076648E-2</v>
      </c>
      <c r="G9" s="9">
        <v>7.2236315662952133E-2</v>
      </c>
      <c r="H9" s="9">
        <v>7.9822011067397669E-2</v>
      </c>
      <c r="I9" s="9">
        <v>8.8863585850345053E-2</v>
      </c>
      <c r="J9" s="9">
        <v>9.3815343145610963E-2</v>
      </c>
      <c r="K9" s="9">
        <v>9.9851979491247286E-2</v>
      </c>
      <c r="L9" s="9">
        <v>0.10629321462082664</v>
      </c>
      <c r="M9" s="9">
        <v>0.11352510304661517</v>
      </c>
      <c r="N9" s="9">
        <v>0.13104402988686004</v>
      </c>
    </row>
    <row r="10" spans="1:14">
      <c r="A10" s="8">
        <v>5</v>
      </c>
      <c r="C10" s="9">
        <v>5.5699196482052564E-2</v>
      </c>
      <c r="D10" s="9">
        <v>6.0633879391623596E-2</v>
      </c>
      <c r="E10" s="9">
        <v>6.6272564053525038E-2</v>
      </c>
      <c r="F10" s="9">
        <v>6.9409068127988943E-2</v>
      </c>
      <c r="G10" s="9">
        <v>7.2792545443247189E-2</v>
      </c>
      <c r="H10" s="9">
        <v>8.0436425592726679E-2</v>
      </c>
      <c r="I10" s="9">
        <v>8.9544891419464451E-2</v>
      </c>
      <c r="J10" s="9">
        <v>9.4532221119810383E-2</v>
      </c>
      <c r="K10" s="9">
        <v>0.10061126491638323</v>
      </c>
      <c r="L10" s="9">
        <v>0.10709664216762194</v>
      </c>
      <c r="M10" s="9">
        <v>0.11437679452218312</v>
      </c>
      <c r="N10" s="9">
        <v>0.13200733431842154</v>
      </c>
    </row>
    <row r="11" spans="1:14">
      <c r="A11" s="8">
        <v>6</v>
      </c>
      <c r="C11" s="9">
        <v>5.6130463821739598E-2</v>
      </c>
      <c r="D11" s="9">
        <v>6.1109794753270226E-2</v>
      </c>
      <c r="E11" s="9">
        <v>6.6798675639545196E-2</v>
      </c>
      <c r="F11" s="9">
        <v>6.9962743141880085E-2</v>
      </c>
      <c r="G11" s="9">
        <v>7.3375681884478475E-2</v>
      </c>
      <c r="H11" s="9">
        <v>8.1085141472130029E-2</v>
      </c>
      <c r="I11" s="9">
        <v>9.0270123976310429E-2</v>
      </c>
      <c r="J11" s="9">
        <v>9.5298663899113595E-2</v>
      </c>
      <c r="K11" s="9">
        <v>0.10142733002421005</v>
      </c>
      <c r="L11" s="9">
        <v>0.10796495177513357</v>
      </c>
      <c r="M11" s="9">
        <v>0.11530294665468654</v>
      </c>
      <c r="N11" s="9">
        <v>0.13307030393157582</v>
      </c>
    </row>
    <row r="12" spans="1:14">
      <c r="A12" s="8">
        <v>7</v>
      </c>
      <c r="C12" s="9">
        <v>5.6332272045252957E-2</v>
      </c>
      <c r="D12" s="9">
        <v>6.1344646782437361E-2</v>
      </c>
      <c r="E12" s="9">
        <v>6.7070288385491658E-2</v>
      </c>
      <c r="F12" s="9">
        <v>7.0254386374471026E-2</v>
      </c>
      <c r="G12" s="9">
        <v>7.3688626854004263E-2</v>
      </c>
      <c r="H12" s="9">
        <v>8.1445158908065154E-2</v>
      </c>
      <c r="I12" s="9">
        <v>9.0684595529749293E-2</v>
      </c>
      <c r="J12" s="9">
        <v>9.5742311058520033E-2</v>
      </c>
      <c r="K12" s="9">
        <v>0.10190600933454398</v>
      </c>
      <c r="L12" s="9">
        <v>0.10848043420190059</v>
      </c>
      <c r="M12" s="9">
        <v>0.11585912103292392</v>
      </c>
      <c r="N12" s="9">
        <v>0.1337227005543653</v>
      </c>
    </row>
    <row r="13" spans="1:14">
      <c r="A13" s="8">
        <v>8</v>
      </c>
      <c r="C13" s="9">
        <v>5.6380571506848651E-2</v>
      </c>
      <c r="D13" s="9">
        <v>6.1418575711108502E-2</v>
      </c>
      <c r="E13" s="9">
        <v>6.7172389795957993E-2</v>
      </c>
      <c r="F13" s="9">
        <v>7.0371702694741106E-2</v>
      </c>
      <c r="G13" s="9">
        <v>7.3822029351536991E-2</v>
      </c>
      <c r="H13" s="9">
        <v>8.1613811385029517E-2</v>
      </c>
      <c r="I13" s="9">
        <v>9.0893631603425853E-2</v>
      </c>
      <c r="J13" s="9">
        <v>9.5972863499348443E-2</v>
      </c>
      <c r="K13" s="9">
        <v>0.10216232777385241</v>
      </c>
      <c r="L13" s="9">
        <v>0.1087637768327033</v>
      </c>
      <c r="M13" s="9">
        <v>0.11617233376518694</v>
      </c>
      <c r="N13" s="9">
        <v>0.13410672293139286</v>
      </c>
    </row>
    <row r="14" spans="1:14">
      <c r="A14" s="8">
        <v>9</v>
      </c>
      <c r="C14" s="9">
        <v>5.6300296655879142E-2</v>
      </c>
      <c r="D14" s="9">
        <v>6.1357667468440354E-2</v>
      </c>
      <c r="E14" s="9">
        <v>6.7132360510239339E-2</v>
      </c>
      <c r="F14" s="9">
        <v>7.0342780950804124E-2</v>
      </c>
      <c r="G14" s="9">
        <v>7.3804731270423571E-2</v>
      </c>
      <c r="H14" s="9">
        <v>8.1621595679659334E-2</v>
      </c>
      <c r="I14" s="9">
        <v>9.0929608695756489E-2</v>
      </c>
      <c r="J14" s="9">
        <v>9.6023682042094105E-2</v>
      </c>
      <c r="K14" s="9">
        <v>0.1022308021900611</v>
      </c>
      <c r="L14" s="9">
        <v>0.10885067708322671</v>
      </c>
      <c r="M14" s="9">
        <v>0.11627954408092729</v>
      </c>
      <c r="N14" s="9">
        <v>0.13426212506533219</v>
      </c>
    </row>
    <row r="15" spans="1:14">
      <c r="A15" s="8">
        <v>10</v>
      </c>
      <c r="C15" s="9">
        <v>5.6132227310008297E-2</v>
      </c>
      <c r="D15" s="9">
        <v>6.1204939297025647E-2</v>
      </c>
      <c r="E15" s="9">
        <v>6.6995797751663852E-2</v>
      </c>
      <c r="F15" s="9">
        <v>7.0214660658750899E-2</v>
      </c>
      <c r="G15" s="9">
        <v>7.3685331485118966E-2</v>
      </c>
      <c r="H15" s="9">
        <v>8.1520638354076733E-2</v>
      </c>
      <c r="I15" s="9">
        <v>9.0848848083596029E-2</v>
      </c>
      <c r="J15" s="9">
        <v>9.5953374072226538E-2</v>
      </c>
      <c r="K15" s="9">
        <v>0.10217281225229771</v>
      </c>
      <c r="L15" s="9">
        <v>0.10880545228143919</v>
      </c>
      <c r="M15" s="9">
        <v>0.11624834037816432</v>
      </c>
      <c r="N15" s="9">
        <v>0.1342642984509948</v>
      </c>
    </row>
    <row r="16" spans="1:14">
      <c r="A16" s="8">
        <v>11</v>
      </c>
      <c r="C16" s="9">
        <v>5.5823671519697228E-2</v>
      </c>
      <c r="D16" s="9">
        <v>6.0904082238739797E-2</v>
      </c>
      <c r="E16" s="9">
        <v>6.6702083890406091E-2</v>
      </c>
      <c r="F16" s="9">
        <v>6.9924249722610465E-2</v>
      </c>
      <c r="G16" s="9">
        <v>7.3398008601427409E-2</v>
      </c>
      <c r="H16" s="9">
        <v>8.1238733131589969E-2</v>
      </c>
      <c r="I16" s="9">
        <v>9.0571164594313178E-2</v>
      </c>
      <c r="J16" s="9">
        <v>9.567722692249106E-2</v>
      </c>
      <c r="K16" s="9">
        <v>0.10189798492646616</v>
      </c>
      <c r="L16" s="9">
        <v>0.10853152864737015</v>
      </c>
      <c r="M16" s="9">
        <v>0.11597500144498617</v>
      </c>
      <c r="N16" s="9">
        <v>0.13399147000382847</v>
      </c>
    </row>
    <row r="17" spans="1:14">
      <c r="A17" s="8">
        <v>12</v>
      </c>
      <c r="C17" s="9">
        <v>5.5472738173893622E-2</v>
      </c>
      <c r="D17" s="9">
        <v>6.0558989724689247E-2</v>
      </c>
      <c r="E17" s="9">
        <v>6.636185432244146E-2</v>
      </c>
      <c r="F17" s="9">
        <v>6.958598601495071E-2</v>
      </c>
      <c r="G17" s="9">
        <v>7.3061338508751836E-2</v>
      </c>
      <c r="H17" s="9">
        <v>8.0903919218317286E-2</v>
      </c>
      <c r="I17" s="9">
        <v>9.0236029463402409E-2</v>
      </c>
      <c r="J17" s="9">
        <v>9.5341020991533409E-2</v>
      </c>
      <c r="K17" s="9">
        <v>0.10155982226672743</v>
      </c>
      <c r="L17" s="9">
        <v>0.10819067047826846</v>
      </c>
      <c r="M17" s="9">
        <v>0.11563058114927199</v>
      </c>
      <c r="N17" s="9">
        <v>0.13363718017343129</v>
      </c>
    </row>
    <row r="18" spans="1:14">
      <c r="A18" s="8">
        <v>13</v>
      </c>
      <c r="C18" s="9">
        <v>5.5087161867211694E-2</v>
      </c>
      <c r="D18" s="9">
        <v>6.0177789957546128E-2</v>
      </c>
      <c r="E18" s="9">
        <v>6.5983673456522562E-2</v>
      </c>
      <c r="F18" s="9">
        <v>6.9208668962954606E-2</v>
      </c>
      <c r="G18" s="9">
        <v>7.2684367161148053E-2</v>
      </c>
      <c r="H18" s="9">
        <v>8.052576925776625E-2</v>
      </c>
      <c r="I18" s="9">
        <v>8.9853580473511219E-2</v>
      </c>
      <c r="J18" s="9">
        <v>9.4955171636182736E-2</v>
      </c>
      <c r="K18" s="9">
        <v>0.10116904540816203</v>
      </c>
      <c r="L18" s="9">
        <v>0.10779388415552653</v>
      </c>
      <c r="M18" s="9">
        <v>0.11522635427028281</v>
      </c>
      <c r="N18" s="9">
        <v>0.13321312292560644</v>
      </c>
    </row>
    <row r="19" spans="1:14">
      <c r="A19" s="8">
        <v>14</v>
      </c>
      <c r="C19" s="9">
        <v>5.4686729985053216E-2</v>
      </c>
      <c r="D19" s="9">
        <v>5.9781447621368063E-2</v>
      </c>
      <c r="E19" s="9">
        <v>6.5589869502024181E-2</v>
      </c>
      <c r="F19" s="9">
        <v>6.8815391428124845E-2</v>
      </c>
      <c r="G19" s="9">
        <v>7.2291015737554254E-2</v>
      </c>
      <c r="H19" s="9">
        <v>8.0130082715822615E-2</v>
      </c>
      <c r="I19" s="9">
        <v>8.9451853469359507E-2</v>
      </c>
      <c r="J19" s="9">
        <v>9.4548932132178298E-2</v>
      </c>
      <c r="K19" s="9">
        <v>0.10075638008473178</v>
      </c>
      <c r="L19" s="9">
        <v>0.10737344832122858</v>
      </c>
      <c r="M19" s="9">
        <v>0.11479631588733671</v>
      </c>
      <c r="N19" s="9">
        <v>0.13275730942494535</v>
      </c>
    </row>
    <row r="20" spans="1:14">
      <c r="A20" s="8">
        <v>15</v>
      </c>
      <c r="C20" s="9">
        <v>5.4293157282426625E-2</v>
      </c>
      <c r="D20" s="9">
        <v>5.9393041843157454E-2</v>
      </c>
      <c r="E20" s="9">
        <v>6.5205116383353134E-2</v>
      </c>
      <c r="F20" s="9">
        <v>6.8431728801742656E-2</v>
      </c>
      <c r="G20" s="9">
        <v>7.1907842110793679E-2</v>
      </c>
      <c r="H20" s="9">
        <v>7.9745669119644022E-2</v>
      </c>
      <c r="I20" s="9">
        <v>8.9062384090237826E-2</v>
      </c>
      <c r="J20" s="9">
        <v>9.4155343869282301E-2</v>
      </c>
      <c r="K20" s="9">
        <v>0.10035671025518833</v>
      </c>
      <c r="L20" s="9">
        <v>0.10696621655485855</v>
      </c>
      <c r="M20" s="9">
        <v>0.11437952952075484</v>
      </c>
      <c r="N20" s="9">
        <v>0.13231411842832377</v>
      </c>
    </row>
    <row r="21" spans="1:14">
      <c r="A21" s="8">
        <v>16</v>
      </c>
      <c r="C21" s="9">
        <v>5.3953121884096351E-2</v>
      </c>
      <c r="D21" s="9">
        <v>5.9062243195263618E-2</v>
      </c>
      <c r="E21" s="9">
        <v>6.4882613631158756E-2</v>
      </c>
      <c r="F21" s="9">
        <v>6.8112890848290725E-2</v>
      </c>
      <c r="G21" s="9">
        <v>7.1592260128386515E-2</v>
      </c>
      <c r="H21" s="9">
        <v>7.9435047749629728E-2</v>
      </c>
      <c r="I21" s="9">
        <v>8.8753979512531347E-2</v>
      </c>
      <c r="J21" s="9">
        <v>9.3846740125370157E-2</v>
      </c>
      <c r="K21" s="9">
        <v>0.1000467380277122</v>
      </c>
      <c r="L21" s="9">
        <v>0.10665362947634048</v>
      </c>
      <c r="M21" s="9">
        <v>0.11406284040581607</v>
      </c>
      <c r="N21" s="9">
        <v>0.13198380011099933</v>
      </c>
    </row>
    <row r="22" spans="1:14">
      <c r="A22" s="8">
        <v>17</v>
      </c>
      <c r="C22" s="9">
        <v>5.3626142480023002E-2</v>
      </c>
      <c r="D22" s="9">
        <v>5.8746344887168477E-2</v>
      </c>
      <c r="E22" s="9">
        <v>6.4577053168479434E-2</v>
      </c>
      <c r="F22" s="9">
        <v>6.7812098431355355E-2</v>
      </c>
      <c r="G22" s="9">
        <v>7.1295886309322334E-2</v>
      </c>
      <c r="H22" s="9">
        <v>7.9146151394772074E-2</v>
      </c>
      <c r="I22" s="9">
        <v>8.8470092646563248E-2</v>
      </c>
      <c r="J22" s="9">
        <v>9.3564086412040781E-2</v>
      </c>
      <c r="K22" s="9">
        <v>9.9764369343359027E-2</v>
      </c>
      <c r="L22" s="9">
        <v>0.10637030001286121</v>
      </c>
      <c r="M22" s="9">
        <v>0.11377713464029585</v>
      </c>
      <c r="N22" s="9">
        <v>0.13168811063179489</v>
      </c>
    </row>
    <row r="23" spans="1:14">
      <c r="A23" s="8">
        <v>18</v>
      </c>
      <c r="C23" s="9">
        <v>5.3302334250135773E-2</v>
      </c>
      <c r="D23" s="9">
        <v>5.8435000622579919E-2</v>
      </c>
      <c r="E23" s="9">
        <v>6.4277548998728493E-2</v>
      </c>
      <c r="F23" s="9">
        <v>6.7518160092134516E-2</v>
      </c>
      <c r="G23" s="9">
        <v>7.1007195743943791E-2</v>
      </c>
      <c r="H23" s="9">
        <v>7.8866687782568834E-2</v>
      </c>
      <c r="I23" s="9">
        <v>8.8197493280817094E-2</v>
      </c>
      <c r="J23" s="9">
        <v>9.3293628714337634E-2</v>
      </c>
      <c r="K23" s="9">
        <v>9.949520221756232E-2</v>
      </c>
      <c r="L23" s="9">
        <v>0.10610112349257825</v>
      </c>
      <c r="M23" s="9">
        <v>0.11350650470007975</v>
      </c>
      <c r="N23" s="9">
        <v>0.13140913540098378</v>
      </c>
    </row>
    <row r="24" spans="1:14">
      <c r="A24" s="8">
        <v>19</v>
      </c>
      <c r="C24" s="9">
        <v>5.2994280645626814E-2</v>
      </c>
      <c r="D24" s="9">
        <v>5.8141681787402422E-2</v>
      </c>
      <c r="E24" s="9">
        <v>6.3998620915923635E-2</v>
      </c>
      <c r="F24" s="9">
        <v>6.7246193471475632E-2</v>
      </c>
      <c r="G24" s="9">
        <v>7.0741962090152224E-2</v>
      </c>
      <c r="H24" s="9">
        <v>7.8613952074835097E-2</v>
      </c>
      <c r="I24" s="9">
        <v>8.7955353565755887E-2</v>
      </c>
      <c r="J24" s="9">
        <v>9.3055592816841448E-2</v>
      </c>
      <c r="K24" s="9">
        <v>9.9260768479819142E-2</v>
      </c>
      <c r="L24" s="9">
        <v>0.10586904850191033</v>
      </c>
      <c r="M24" s="9">
        <v>0.1132755145364554</v>
      </c>
      <c r="N24" s="9">
        <v>0.13117543675092153</v>
      </c>
    </row>
    <row r="25" spans="1:14">
      <c r="A25" s="8">
        <v>20</v>
      </c>
      <c r="C25" s="9">
        <v>5.2704112652013343E-2</v>
      </c>
      <c r="D25" s="9">
        <v>5.7868828740650941E-2</v>
      </c>
      <c r="E25" s="9">
        <v>6.374308292765711E-2</v>
      </c>
      <c r="F25" s="9">
        <v>6.6999229621042419E-2</v>
      </c>
      <c r="G25" s="9">
        <v>7.0503457810909789E-2</v>
      </c>
      <c r="H25" s="9">
        <v>7.8391789335464201E-2</v>
      </c>
      <c r="I25" s="9">
        <v>8.7748248209919083E-2</v>
      </c>
      <c r="J25" s="9">
        <v>9.2854973632430532E-2</v>
      </c>
      <c r="K25" s="9">
        <v>9.906659390608738E-2</v>
      </c>
      <c r="L25" s="9">
        <v>0.10568018854897691</v>
      </c>
      <c r="M25" s="9">
        <v>0.11309096196153899</v>
      </c>
      <c r="N25" s="9">
        <v>0.1309955653996604</v>
      </c>
    </row>
    <row r="26" spans="1:14">
      <c r="A26" s="8">
        <v>21</v>
      </c>
      <c r="C26" s="9">
        <v>5.2410043252843805E-2</v>
      </c>
      <c r="D26" s="9">
        <v>5.7593551141387422E-2</v>
      </c>
      <c r="E26" s="9">
        <v>6.348675467271811E-2</v>
      </c>
      <c r="F26" s="9">
        <v>6.6752358375389842E-2</v>
      </c>
      <c r="G26" s="9">
        <v>7.0265976510600556E-2</v>
      </c>
      <c r="H26" s="9">
        <v>7.8172663493101716E-2</v>
      </c>
      <c r="I26" s="9">
        <v>8.7546412639815371E-2</v>
      </c>
      <c r="J26" s="9">
        <v>9.2660767331752741E-2</v>
      </c>
      <c r="K26" s="9">
        <v>9.8880148239432211E-2</v>
      </c>
      <c r="L26" s="9">
        <v>0.10550036762981571</v>
      </c>
      <c r="M26" s="9">
        <v>0.1129168045048367</v>
      </c>
      <c r="N26" s="9">
        <v>0.13082888653525349</v>
      </c>
    </row>
    <row r="27" spans="1:14">
      <c r="A27" s="8">
        <v>22</v>
      </c>
      <c r="C27" s="9">
        <v>5.2124397879557603E-2</v>
      </c>
      <c r="D27" s="9">
        <v>5.7329054516331718E-2</v>
      </c>
      <c r="E27" s="9">
        <v>6.3243882054825284E-2</v>
      </c>
      <c r="F27" s="9">
        <v>6.6520419638685629E-2</v>
      </c>
      <c r="G27" s="9">
        <v>7.0045010601216026E-2</v>
      </c>
      <c r="H27" s="9">
        <v>7.7973583616936029E-2</v>
      </c>
      <c r="I27" s="9">
        <v>8.7368734306761217E-2</v>
      </c>
      <c r="J27" s="9">
        <v>9.2492919815038419E-2</v>
      </c>
      <c r="K27" s="9">
        <v>9.8722693763706376E-2</v>
      </c>
      <c r="L27" s="9">
        <v>0.1053522817772255</v>
      </c>
      <c r="M27" s="9">
        <v>0.11277738061322738</v>
      </c>
      <c r="N27" s="9">
        <v>0.13070384067563423</v>
      </c>
    </row>
    <row r="28" spans="1:14">
      <c r="A28" s="8">
        <v>23</v>
      </c>
      <c r="C28" s="9">
        <v>5.1836168526293629E-2</v>
      </c>
      <c r="D28" s="9">
        <v>5.7063884773345099E-2</v>
      </c>
      <c r="E28" s="9">
        <v>6.3002495067119454E-2</v>
      </c>
      <c r="F28" s="9">
        <v>6.6291154249821307E-2</v>
      </c>
      <c r="G28" s="9">
        <v>6.9827987689204549E-2</v>
      </c>
      <c r="H28" s="9">
        <v>7.7781266368971674E-2</v>
      </c>
      <c r="I28" s="9">
        <v>8.7201080441032669E-2</v>
      </c>
      <c r="J28" s="9">
        <v>9.2336833647098548E-2</v>
      </c>
      <c r="K28" s="9">
        <v>9.8579068085392768E-2</v>
      </c>
      <c r="L28" s="9">
        <v>0.10522016837291304</v>
      </c>
      <c r="M28" s="9">
        <v>0.1126562577249705</v>
      </c>
      <c r="N28" s="9">
        <v>0.13060239247958361</v>
      </c>
    </row>
    <row r="29" spans="1:14">
      <c r="A29" s="8">
        <v>24</v>
      </c>
      <c r="C29" s="9">
        <v>5.1545565641684055E-2</v>
      </c>
      <c r="D29" s="9">
        <v>5.6798451050047841E-2</v>
      </c>
      <c r="E29" s="9">
        <v>6.2763243999864632E-2</v>
      </c>
      <c r="F29" s="9">
        <v>6.6065353208002414E-2</v>
      </c>
      <c r="G29" s="9">
        <v>6.9615855844549851E-2</v>
      </c>
      <c r="H29" s="9">
        <v>7.7597034833234227E-2</v>
      </c>
      <c r="I29" s="9">
        <v>8.7045257164911752E-2</v>
      </c>
      <c r="J29" s="9">
        <v>9.219459580326668E-2</v>
      </c>
      <c r="K29" s="9">
        <v>9.8451715793673622E-2</v>
      </c>
      <c r="L29" s="9">
        <v>0.10510687154356997</v>
      </c>
      <c r="M29" s="9">
        <v>0.11255674986051246</v>
      </c>
      <c r="N29" s="9">
        <v>0.13052908179124728</v>
      </c>
    </row>
    <row r="30" spans="1:14">
      <c r="A30" s="8">
        <v>25</v>
      </c>
      <c r="C30" s="9">
        <v>5.1239992562718252E-2</v>
      </c>
      <c r="D30" s="9">
        <v>5.6519627573842858E-2</v>
      </c>
      <c r="E30" s="9">
        <v>6.2512388449983886E-2</v>
      </c>
      <c r="F30" s="9">
        <v>6.5828930322162402E-2</v>
      </c>
      <c r="G30" s="9">
        <v>6.9394153215305482E-2</v>
      </c>
      <c r="H30" s="9">
        <v>7.7405570308547098E-2</v>
      </c>
      <c r="I30" s="9">
        <v>8.6884914359036586E-2</v>
      </c>
      <c r="J30" s="9">
        <v>9.2049288486500278E-2</v>
      </c>
      <c r="K30" s="9">
        <v>9.8323025713340909E-2</v>
      </c>
      <c r="L30" s="9">
        <v>0.1049940398193084</v>
      </c>
      <c r="M30" s="9">
        <v>0.11245967515828532</v>
      </c>
      <c r="N30" s="9">
        <v>0.13046272510626861</v>
      </c>
    </row>
    <row r="31" spans="1:14">
      <c r="A31" s="8">
        <v>26</v>
      </c>
      <c r="C31" s="9">
        <v>5.0905191800398944E-2</v>
      </c>
      <c r="D31" s="9">
        <v>5.6212510400734307E-2</v>
      </c>
      <c r="E31" s="9">
        <v>6.2234267633634877E-2</v>
      </c>
      <c r="F31" s="9">
        <v>6.5565796134019153E-2</v>
      </c>
      <c r="G31" s="9">
        <v>6.9146322218989559E-2</v>
      </c>
      <c r="H31" s="9">
        <v>7.7189237763407179E-2</v>
      </c>
      <c r="I31" s="9">
        <v>8.6701101449926307E-2</v>
      </c>
      <c r="J31" s="9">
        <v>9.1881228089399289E-2</v>
      </c>
      <c r="K31" s="9">
        <v>9.8172409985036485E-2</v>
      </c>
      <c r="L31" s="9">
        <v>0.10486010885878701</v>
      </c>
      <c r="M31" s="9">
        <v>0.11234236008716385</v>
      </c>
      <c r="N31" s="9">
        <v>0.13037791330137549</v>
      </c>
    </row>
    <row r="32" spans="1:14">
      <c r="A32" s="8">
        <v>27</v>
      </c>
      <c r="C32" s="9">
        <v>5.0551571853773035E-2</v>
      </c>
      <c r="D32" s="9">
        <v>5.5888253891772689E-2</v>
      </c>
      <c r="E32" s="9">
        <v>6.1940914588630325E-2</v>
      </c>
      <c r="F32" s="9">
        <v>6.5288484091151691E-2</v>
      </c>
      <c r="G32" s="9">
        <v>6.8885445080760485E-2</v>
      </c>
      <c r="H32" s="9">
        <v>7.6962391855948026E-2</v>
      </c>
      <c r="I32" s="9">
        <v>8.6509744508747807E-2</v>
      </c>
      <c r="J32" s="9">
        <v>9.1707224683946653E-2</v>
      </c>
      <c r="K32" s="9">
        <v>9.8017777209347484E-2</v>
      </c>
      <c r="L32" s="9">
        <v>0.1047241831609913</v>
      </c>
      <c r="M32" s="9">
        <v>0.11222527905878553</v>
      </c>
      <c r="N32" s="9">
        <v>0.13029854619439232</v>
      </c>
    </row>
    <row r="33" spans="1:14">
      <c r="A33" s="8">
        <v>28</v>
      </c>
      <c r="C33" s="9">
        <v>5.0164061165649552E-2</v>
      </c>
      <c r="D33" s="9">
        <v>5.5531125864455327E-2</v>
      </c>
      <c r="E33" s="9">
        <v>6.1615825247410605E-2</v>
      </c>
      <c r="F33" s="9">
        <v>6.498005365534501E-2</v>
      </c>
      <c r="G33" s="9">
        <v>6.8594105213982418E-2</v>
      </c>
      <c r="H33" s="9">
        <v>7.6706522651846312E-2</v>
      </c>
      <c r="I33" s="9">
        <v>8.6291003098906693E-2</v>
      </c>
      <c r="J33" s="9">
        <v>9.1506698626117836E-2</v>
      </c>
      <c r="K33" s="9">
        <v>9.783763806018235E-2</v>
      </c>
      <c r="L33" s="9">
        <v>0.10456379383486492</v>
      </c>
      <c r="M33" s="9">
        <v>0.11208485410100168</v>
      </c>
      <c r="N33" s="9">
        <v>0.13019832766659664</v>
      </c>
    </row>
    <row r="34" spans="1:14">
      <c r="A34" s="8">
        <v>29</v>
      </c>
      <c r="C34" s="9">
        <v>4.9753016067119876E-2</v>
      </c>
      <c r="D34" s="9">
        <v>5.5152237322925582E-2</v>
      </c>
      <c r="E34" s="9">
        <v>6.1271000613963691E-2</v>
      </c>
      <c r="F34" s="9">
        <v>6.4653013202902412E-2</v>
      </c>
      <c r="G34" s="9">
        <v>6.8285367876127379E-2</v>
      </c>
      <c r="H34" s="9">
        <v>7.6435988696716514E-2</v>
      </c>
      <c r="I34" s="9">
        <v>8.6060837356245673E-2</v>
      </c>
      <c r="J34" s="9">
        <v>9.1296513385024258E-2</v>
      </c>
      <c r="K34" s="9">
        <v>9.7649981093607091E-2</v>
      </c>
      <c r="L34" s="9">
        <v>0.10439815760662935</v>
      </c>
      <c r="M34" s="9">
        <v>0.11194171333092405</v>
      </c>
      <c r="N34" s="9">
        <v>0.1301014372991311</v>
      </c>
    </row>
    <row r="35" spans="1:14">
      <c r="A35" s="8">
        <v>30</v>
      </c>
      <c r="C35" s="9">
        <v>4.9288490640979628E-2</v>
      </c>
      <c r="D35" s="9">
        <v>5.4720176487018289E-2</v>
      </c>
      <c r="E35" s="9">
        <v>6.0873310806192057E-2</v>
      </c>
      <c r="F35" s="9">
        <v>6.4273258629794952E-2</v>
      </c>
      <c r="G35" s="9">
        <v>6.7924064097517223E-2</v>
      </c>
      <c r="H35" s="9">
        <v>7.6113165888539128E-2</v>
      </c>
      <c r="I35" s="9">
        <v>8.5778617202159305E-2</v>
      </c>
      <c r="J35" s="9">
        <v>9.1034359954446198E-2</v>
      </c>
      <c r="K35" s="9">
        <v>9.7410422472540906E-2</v>
      </c>
      <c r="L35" s="9">
        <v>0.10418064573026448</v>
      </c>
      <c r="M35" s="9">
        <v>0.11174667310454678</v>
      </c>
      <c r="N35" s="9">
        <v>0.12995237315895586</v>
      </c>
    </row>
    <row r="36" spans="1:14">
      <c r="A36" s="8">
        <v>31</v>
      </c>
      <c r="C36" s="9">
        <v>4.8779061037427532E-2</v>
      </c>
      <c r="D36" s="9">
        <v>5.4244132997400427E-2</v>
      </c>
      <c r="E36" s="9">
        <v>6.0432663325931384E-2</v>
      </c>
      <c r="F36" s="9">
        <v>6.3851104049116661E-2</v>
      </c>
      <c r="G36" s="9">
        <v>6.7520952153985181E-2</v>
      </c>
      <c r="H36" s="9">
        <v>7.5749835767966719E-2</v>
      </c>
      <c r="I36" s="9">
        <v>8.545737624822633E-2</v>
      </c>
      <c r="J36" s="9">
        <v>9.0733971179762493E-2</v>
      </c>
      <c r="K36" s="9">
        <v>9.7133559272363501E-2</v>
      </c>
      <c r="L36" s="9">
        <v>0.10392679064831604</v>
      </c>
      <c r="M36" s="9">
        <v>0.11151633092597471</v>
      </c>
      <c r="N36" s="9">
        <v>0.1297703697800506</v>
      </c>
    </row>
    <row r="37" spans="1:14">
      <c r="A37" s="8">
        <v>32</v>
      </c>
      <c r="C37" s="9">
        <v>4.8205852293418325E-2</v>
      </c>
      <c r="D37" s="9">
        <v>5.3704362263900518E-2</v>
      </c>
      <c r="E37" s="9">
        <v>5.9928290760647998E-2</v>
      </c>
      <c r="F37" s="9">
        <v>6.3365200357391058E-2</v>
      </c>
      <c r="G37" s="9">
        <v>6.7054045699743506E-2</v>
      </c>
      <c r="H37" s="9">
        <v>7.5322537044741539E-2</v>
      </c>
      <c r="I37" s="9">
        <v>8.507183633889992E-2</v>
      </c>
      <c r="J37" s="9">
        <v>9.0369048814528341E-2</v>
      </c>
      <c r="K37" s="9">
        <v>9.6791827308003481E-2</v>
      </c>
      <c r="L37" s="9">
        <v>0.10360765183288601</v>
      </c>
      <c r="M37" s="9">
        <v>0.11122017145112566</v>
      </c>
      <c r="N37" s="9">
        <v>0.12952097869331233</v>
      </c>
    </row>
    <row r="38" spans="1:14">
      <c r="A38" s="8">
        <v>33</v>
      </c>
      <c r="C38" s="9">
        <v>4.7591526409069961E-2</v>
      </c>
      <c r="D38" s="9">
        <v>5.3124906384514663E-2</v>
      </c>
      <c r="E38" s="9">
        <v>5.9385851973299923E-2</v>
      </c>
      <c r="F38" s="9">
        <v>6.2842123045507584E-2</v>
      </c>
      <c r="G38" s="9">
        <v>6.6550922193321871E-2</v>
      </c>
      <c r="H38" s="9">
        <v>7.4861158158121624E-2</v>
      </c>
      <c r="I38" s="9">
        <v>8.4654718459494779E-2</v>
      </c>
      <c r="J38" s="9">
        <v>8.9973897942096467E-2</v>
      </c>
      <c r="K38" s="9">
        <v>9.6421491705352094E-2</v>
      </c>
      <c r="L38" s="9">
        <v>0.10326161840900584</v>
      </c>
      <c r="M38" s="9">
        <v>0.11089900555290116</v>
      </c>
      <c r="N38" s="9">
        <v>0.12925102118794343</v>
      </c>
    </row>
    <row r="39" spans="1:14">
      <c r="A39" s="8">
        <v>34</v>
      </c>
      <c r="C39" s="9">
        <v>4.6917361730782835E-2</v>
      </c>
      <c r="D39" s="9">
        <v>5.2486247161366031E-2</v>
      </c>
      <c r="E39" s="9">
        <v>5.8784896374020873E-2</v>
      </c>
      <c r="F39" s="9">
        <v>6.226089336376029E-2</v>
      </c>
      <c r="G39" s="9">
        <v>6.5990025998316118E-2</v>
      </c>
      <c r="H39" s="9">
        <v>7.4342814929458448E-2</v>
      </c>
      <c r="I39" s="9">
        <v>8.4181514375406427E-2</v>
      </c>
      <c r="J39" s="9">
        <v>8.9523104334418832E-2</v>
      </c>
      <c r="K39" s="9">
        <v>9.5996019571901459E-2</v>
      </c>
      <c r="L39" s="9">
        <v>0.10286094823038487</v>
      </c>
      <c r="M39" s="9">
        <v>0.11052371613164969</v>
      </c>
      <c r="N39" s="9">
        <v>0.12892798505629391</v>
      </c>
    </row>
    <row r="40" spans="1:14">
      <c r="A40" s="8">
        <v>35</v>
      </c>
      <c r="C40" s="9">
        <v>4.61924923944316E-2</v>
      </c>
      <c r="D40" s="9">
        <v>5.1798200232530636E-2</v>
      </c>
      <c r="E40" s="9">
        <v>5.8136038952643659E-2</v>
      </c>
      <c r="F40" s="9">
        <v>6.1632580049578639E-2</v>
      </c>
      <c r="G40" s="9">
        <v>6.5382922357438575E-2</v>
      </c>
      <c r="H40" s="9">
        <v>7.3780220033605862E-2</v>
      </c>
      <c r="I40" s="9">
        <v>8.3666347994546503E-2</v>
      </c>
      <c r="J40" s="9">
        <v>8.9031583674595335E-2</v>
      </c>
      <c r="K40" s="9">
        <v>9.5531308967228556E-2</v>
      </c>
      <c r="L40" s="9">
        <v>0.10242260741697684</v>
      </c>
      <c r="M40" s="9">
        <v>0.11011249171362689</v>
      </c>
      <c r="N40" s="9">
        <v>0.12857311480798</v>
      </c>
    </row>
    <row r="41" spans="1:14">
      <c r="A41" s="8">
        <v>36</v>
      </c>
      <c r="C41" s="9">
        <v>4.5381295312469296E-2</v>
      </c>
      <c r="D41" s="9">
        <v>5.1023456642943638E-2</v>
      </c>
      <c r="E41" s="9">
        <v>5.7399992601013611E-2</v>
      </c>
      <c r="F41" s="9">
        <v>6.0916773016361843E-2</v>
      </c>
      <c r="G41" s="9">
        <v>6.4687972480175063E-2</v>
      </c>
      <c r="H41" s="9">
        <v>7.3128896194870077E-2</v>
      </c>
      <c r="I41" s="9">
        <v>8.3061254524086081E-2</v>
      </c>
      <c r="J41" s="9">
        <v>8.8449416815827117E-2</v>
      </c>
      <c r="K41" s="9">
        <v>9.4975018679218218E-2</v>
      </c>
      <c r="L41" s="9">
        <v>0.10189162523300969</v>
      </c>
      <c r="M41" s="9">
        <v>0.10960735726454732</v>
      </c>
      <c r="N41" s="9">
        <v>0.12812095068601809</v>
      </c>
    </row>
    <row r="42" spans="1:14">
      <c r="A42" s="8">
        <v>37</v>
      </c>
      <c r="C42" s="9">
        <v>4.4521752806172391E-2</v>
      </c>
      <c r="D42" s="9">
        <v>5.0202167558494472E-2</v>
      </c>
      <c r="E42" s="9">
        <v>5.6619446592962655E-2</v>
      </c>
      <c r="F42" s="9">
        <v>6.0157599429310475E-2</v>
      </c>
      <c r="G42" s="9">
        <v>6.3950874515629003E-2</v>
      </c>
      <c r="H42" s="9">
        <v>7.2438162382893259E-2</v>
      </c>
      <c r="I42" s="9">
        <v>8.2419987352154639E-2</v>
      </c>
      <c r="J42" s="9">
        <v>8.7832835956351857E-2</v>
      </c>
      <c r="K42" s="9">
        <v>9.4386447335150017E-2</v>
      </c>
      <c r="L42" s="9">
        <v>0.10133062285525417</v>
      </c>
      <c r="M42" s="9">
        <v>0.1090747223297302</v>
      </c>
      <c r="N42" s="9">
        <v>0.12764730782856862</v>
      </c>
    </row>
    <row r="43" spans="1:14">
      <c r="A43" s="8">
        <v>38</v>
      </c>
      <c r="C43" s="9">
        <v>4.3577689591801645E-2</v>
      </c>
      <c r="D43" s="9">
        <v>4.9296523094827183E-2</v>
      </c>
      <c r="E43" s="9">
        <v>5.5754677854443033E-2</v>
      </c>
      <c r="F43" s="9">
        <v>5.9314252329208263E-2</v>
      </c>
      <c r="G43" s="9">
        <v>6.3129637347572709E-2</v>
      </c>
      <c r="H43" s="9">
        <v>7.1663298722512161E-2</v>
      </c>
      <c r="I43" s="9">
        <v>8.1694486279322368E-2</v>
      </c>
      <c r="J43" s="9">
        <v>8.7131914705165833E-2</v>
      </c>
      <c r="K43" s="9">
        <v>9.3713361163965544E-2</v>
      </c>
      <c r="L43" s="9">
        <v>0.10068486807873299</v>
      </c>
      <c r="M43" s="9">
        <v>0.10845700828744224</v>
      </c>
      <c r="N43" s="9">
        <v>0.12708755213771561</v>
      </c>
    </row>
    <row r="44" spans="1:14">
      <c r="A44" s="8">
        <v>39</v>
      </c>
      <c r="C44" s="9">
        <v>4.2556712820676551E-2</v>
      </c>
      <c r="D44" s="9">
        <v>4.8314719480305621E-2</v>
      </c>
      <c r="E44" s="9">
        <v>5.4814568048966915E-2</v>
      </c>
      <c r="F44" s="9">
        <v>5.839599990574338E-2</v>
      </c>
      <c r="G44" s="9">
        <v>6.2233950056843894E-2</v>
      </c>
      <c r="H44" s="9">
        <v>7.0814959026968161E-2</v>
      </c>
      <c r="I44" s="9">
        <v>8.0896577111695386E-2</v>
      </c>
      <c r="J44" s="9">
        <v>8.6359129721111566E-2</v>
      </c>
      <c r="K44" s="9">
        <v>9.2969037941083577E-2</v>
      </c>
      <c r="L44" s="9">
        <v>9.9968501886681341E-2</v>
      </c>
      <c r="M44" s="9">
        <v>0.10776933449132135</v>
      </c>
      <c r="N44" s="9">
        <v>0.12645920660445034</v>
      </c>
    </row>
    <row r="45" spans="1:14">
      <c r="A45" s="8">
        <v>40</v>
      </c>
      <c r="C45" s="9">
        <v>4.1451279936702438E-2</v>
      </c>
      <c r="D45" s="9">
        <v>4.7249057146530417E-2</v>
      </c>
      <c r="E45" s="9">
        <v>5.3791231313024372E-2</v>
      </c>
      <c r="F45" s="9">
        <v>5.7394849616900091E-2</v>
      </c>
      <c r="G45" s="9">
        <v>6.1255702659459364E-2</v>
      </c>
      <c r="H45" s="9">
        <v>6.9884759290726364E-2</v>
      </c>
      <c r="I45" s="9">
        <v>8.0017534367637907E-2</v>
      </c>
      <c r="J45" s="9">
        <v>8.5505562013143202E-2</v>
      </c>
      <c r="K45" s="9">
        <v>9.2144316829762443E-2</v>
      </c>
      <c r="L45" s="9">
        <v>9.9172098448453178E-2</v>
      </c>
      <c r="M45" s="9">
        <v>0.10700196937227326</v>
      </c>
      <c r="N45" s="9">
        <v>0.12575176485897274</v>
      </c>
    </row>
    <row r="46" spans="1:14">
      <c r="A46" s="8">
        <v>41</v>
      </c>
      <c r="C46" s="9">
        <v>4.0269836156702085E-2</v>
      </c>
      <c r="D46" s="9">
        <v>4.6108660254834233E-2</v>
      </c>
      <c r="E46" s="9">
        <v>5.2694585293681886E-2</v>
      </c>
      <c r="F46" s="9">
        <v>5.6321168246134388E-2</v>
      </c>
      <c r="G46" s="9">
        <v>6.0205752398072993E-2</v>
      </c>
      <c r="H46" s="9">
        <v>6.8884686495026506E-2</v>
      </c>
      <c r="I46" s="9">
        <v>7.9070728038184157E-2</v>
      </c>
      <c r="J46" s="9">
        <v>8.4585354690993333E-2</v>
      </c>
      <c r="K46" s="9">
        <v>9.1254297583290234E-2</v>
      </c>
      <c r="L46" s="9">
        <v>9.8311794576393011E-2</v>
      </c>
      <c r="M46" s="9">
        <v>0.10617223307715334</v>
      </c>
      <c r="N46" s="9">
        <v>0.12498549023153409</v>
      </c>
    </row>
    <row r="47" spans="1:14">
      <c r="A47" s="8">
        <v>42</v>
      </c>
      <c r="C47" s="9">
        <v>3.8988111237469217E-2</v>
      </c>
      <c r="D47" s="9">
        <v>4.4868304135133721E-2</v>
      </c>
      <c r="E47" s="9">
        <v>5.1498287524039302E-2</v>
      </c>
      <c r="F47" s="9">
        <v>5.5147979655149185E-2</v>
      </c>
      <c r="G47" s="9">
        <v>5.9056430466247867E-2</v>
      </c>
      <c r="H47" s="9">
        <v>6.7785473977692329E-2</v>
      </c>
      <c r="I47" s="9">
        <v>7.8024931868235767E-2</v>
      </c>
      <c r="J47" s="9">
        <v>8.3566184765359805E-2</v>
      </c>
      <c r="K47" s="9">
        <v>9.0265299125550869E-2</v>
      </c>
      <c r="L47" s="9">
        <v>9.735243592993495E-2</v>
      </c>
      <c r="M47" s="9">
        <v>0.10524328918142162</v>
      </c>
      <c r="N47" s="9">
        <v>0.12411935931205262</v>
      </c>
    </row>
    <row r="48" spans="1:14">
      <c r="A48" s="8">
        <v>43</v>
      </c>
      <c r="C48" s="9">
        <v>3.7613471414480994E-2</v>
      </c>
      <c r="D48" s="9">
        <v>4.3535976676716957E-2</v>
      </c>
      <c r="E48" s="9">
        <v>5.0211049106826618E-2</v>
      </c>
      <c r="F48" s="9">
        <v>5.3884402755196167E-2</v>
      </c>
      <c r="G48" s="9">
        <v>5.7817299847125747E-2</v>
      </c>
      <c r="H48" s="9">
        <v>6.6597702707836159E-2</v>
      </c>
      <c r="I48" s="9">
        <v>7.6891963963478874E-2</v>
      </c>
      <c r="J48" s="9">
        <v>8.2460557676964197E-2</v>
      </c>
      <c r="K48" s="9">
        <v>8.9190673281270116E-2</v>
      </c>
      <c r="L48" s="9">
        <v>9.6308286815570937E-2</v>
      </c>
      <c r="M48" s="9">
        <v>0.10423043688224799</v>
      </c>
      <c r="N48" s="9">
        <v>0.12317121694898449</v>
      </c>
    </row>
    <row r="49" spans="1:14">
      <c r="A49" s="8">
        <v>44</v>
      </c>
      <c r="C49" s="9">
        <v>3.6154700747933768E-2</v>
      </c>
      <c r="D49" s="9">
        <v>4.2121212741293726E-2</v>
      </c>
      <c r="E49" s="9">
        <v>4.8843284316268387E-2</v>
      </c>
      <c r="F49" s="9">
        <v>5.2541350549107572E-2</v>
      </c>
      <c r="G49" s="9">
        <v>5.6499818962849793E-2</v>
      </c>
      <c r="H49" s="9">
        <v>6.5334090698102421E-2</v>
      </c>
      <c r="I49" s="9">
        <v>7.5686090643246745E-2</v>
      </c>
      <c r="J49" s="9">
        <v>8.1283608370889562E-2</v>
      </c>
      <c r="K49" s="9">
        <v>8.8046632936065378E-2</v>
      </c>
      <c r="L49" s="9">
        <v>9.5196732607149726E-2</v>
      </c>
      <c r="M49" s="9">
        <v>0.10315240444641136</v>
      </c>
      <c r="N49" s="9">
        <v>0.12216315472687857</v>
      </c>
    </row>
    <row r="50" spans="1:14">
      <c r="A50" s="8">
        <v>45</v>
      </c>
      <c r="C50" s="9">
        <v>3.4567937085917502E-2</v>
      </c>
      <c r="D50" s="9">
        <v>4.0578308083940771E-2</v>
      </c>
      <c r="E50" s="9">
        <v>4.7347134954737712E-2</v>
      </c>
      <c r="F50" s="9">
        <v>5.1069745216874178E-2</v>
      </c>
      <c r="G50" s="9">
        <v>5.5053577869558626E-2</v>
      </c>
      <c r="H50" s="9">
        <v>6.3941158646261168E-2</v>
      </c>
      <c r="I50" s="9">
        <v>7.4350073880599887E-2</v>
      </c>
      <c r="J50" s="9">
        <v>7.99759972118715E-2</v>
      </c>
      <c r="K50" s="9">
        <v>8.6771237631406331E-2</v>
      </c>
      <c r="L50" s="9">
        <v>9.395301304536853E-2</v>
      </c>
      <c r="M50" s="9">
        <v>0.10194121368743861</v>
      </c>
      <c r="N50" s="9">
        <v>0.12101918902636873</v>
      </c>
    </row>
    <row r="51" spans="1:14">
      <c r="A51" s="8">
        <v>46</v>
      </c>
      <c r="C51" s="9">
        <v>3.2876991721625913E-2</v>
      </c>
      <c r="D51" s="9">
        <v>3.8932520455855046E-2</v>
      </c>
      <c r="E51" s="9">
        <v>4.5749543708524958E-2</v>
      </c>
      <c r="F51" s="9">
        <v>4.94974805918421E-2</v>
      </c>
      <c r="G51" s="9">
        <v>5.3507506986869777E-2</v>
      </c>
      <c r="H51" s="9">
        <v>6.2450216669055467E-2</v>
      </c>
      <c r="I51" s="9">
        <v>7.291812239757739E-2</v>
      </c>
      <c r="J51" s="9">
        <v>7.8573546573624142E-2</v>
      </c>
      <c r="K51" s="9">
        <v>8.5402300047337593E-2</v>
      </c>
      <c r="L51" s="9">
        <v>9.2617090675351066E-2</v>
      </c>
      <c r="M51" s="9">
        <v>0.10063927074226006</v>
      </c>
      <c r="N51" s="9">
        <v>0.11978776186097462</v>
      </c>
    </row>
    <row r="52" spans="1:14">
      <c r="A52" s="8">
        <v>47</v>
      </c>
      <c r="C52" s="9">
        <v>3.1072107874855648E-2</v>
      </c>
      <c r="D52" s="9">
        <v>3.7173985883497053E-2</v>
      </c>
      <c r="E52" s="9">
        <v>4.4040522741660038E-2</v>
      </c>
      <c r="F52" s="9">
        <v>4.7814499433318919E-2</v>
      </c>
      <c r="G52" s="9">
        <v>5.1851473882766612E-2</v>
      </c>
      <c r="H52" s="9">
        <v>6.0850961580481457E-2</v>
      </c>
      <c r="I52" s="9">
        <v>7.1379728728451275E-2</v>
      </c>
      <c r="J52" s="9">
        <v>7.7065637112680357E-2</v>
      </c>
      <c r="K52" s="9">
        <v>8.3929064707984141E-2</v>
      </c>
      <c r="L52" s="9">
        <v>9.1178065319953885E-2</v>
      </c>
      <c r="M52" s="9">
        <v>9.9235513936851094E-2</v>
      </c>
      <c r="N52" s="9">
        <v>0.11845742613703673</v>
      </c>
    </row>
    <row r="53" spans="1:14">
      <c r="A53" s="8">
        <v>48</v>
      </c>
      <c r="C53" s="9">
        <v>2.9142501811365736E-2</v>
      </c>
      <c r="D53" s="9">
        <v>3.5291777272745205E-2</v>
      </c>
      <c r="E53" s="9">
        <v>4.2208978177423265E-2</v>
      </c>
      <c r="F53" s="9">
        <v>4.6009613852445168E-2</v>
      </c>
      <c r="G53" s="9">
        <v>5.0074188347398768E-2</v>
      </c>
      <c r="H53" s="9">
        <v>5.9131868896402491E-2</v>
      </c>
      <c r="I53" s="9">
        <v>6.9723084410547559E-2</v>
      </c>
      <c r="J53" s="9">
        <v>7.544030301383399E-2</v>
      </c>
      <c r="K53" s="9">
        <v>8.2339372502864966E-2</v>
      </c>
      <c r="L53" s="9">
        <v>8.9623570092530594E-2</v>
      </c>
      <c r="M53" s="9">
        <v>9.7717341544635364E-2</v>
      </c>
      <c r="N53" s="9">
        <v>0.11701500621463685</v>
      </c>
    </row>
    <row r="54" spans="1:14">
      <c r="A54" s="8">
        <v>49</v>
      </c>
      <c r="C54" s="9">
        <v>2.707625467111149E-2</v>
      </c>
      <c r="D54" s="9">
        <v>3.3273789641420422E-2</v>
      </c>
      <c r="E54" s="9">
        <v>4.0242587243761653E-2</v>
      </c>
      <c r="F54" s="9">
        <v>4.4070377697282725E-2</v>
      </c>
      <c r="G54" s="9">
        <v>4.8163069423373672E-2</v>
      </c>
      <c r="H54" s="9">
        <v>5.728004691649289E-2</v>
      </c>
      <c r="I54" s="9">
        <v>6.7934917006456583E-2</v>
      </c>
      <c r="J54" s="9">
        <v>7.3684058886538353E-2</v>
      </c>
      <c r="K54" s="9">
        <v>8.06194744446702E-2</v>
      </c>
      <c r="L54" s="9">
        <v>8.793957014960134E-2</v>
      </c>
      <c r="M54" s="9">
        <v>9.6070392424912179E-2</v>
      </c>
      <c r="N54" s="9">
        <v>0.1154453287847092</v>
      </c>
    </row>
    <row r="55" spans="1:14">
      <c r="A55" s="8">
        <v>50</v>
      </c>
      <c r="C55" s="9">
        <v>2.486019652528889E-2</v>
      </c>
      <c r="D55" s="9">
        <v>3.1106616879700077E-2</v>
      </c>
      <c r="E55" s="9">
        <v>3.8127666031997458E-2</v>
      </c>
      <c r="F55" s="9">
        <v>4.1982948983077445E-2</v>
      </c>
      <c r="G55" s="9">
        <v>4.6104101826354202E-2</v>
      </c>
      <c r="H55" s="9">
        <v>5.5281078494386342E-2</v>
      </c>
      <c r="I55" s="9">
        <v>6.600031238445489E-2</v>
      </c>
      <c r="J55" s="9">
        <v>7.1781710375752775E-2</v>
      </c>
      <c r="K55" s="9">
        <v>7.8753827049950154E-2</v>
      </c>
      <c r="L55" s="9">
        <v>8.6110140550628683E-2</v>
      </c>
      <c r="M55" s="9">
        <v>9.4278302563325464E-2</v>
      </c>
      <c r="N55" s="9">
        <v>0.11373091997018762</v>
      </c>
    </row>
    <row r="56" spans="1:14">
      <c r="A56" s="8">
        <v>51</v>
      </c>
      <c r="C56" s="9">
        <v>2.2500371359558013E-2</v>
      </c>
      <c r="D56" s="9">
        <v>2.8797002168985352E-2</v>
      </c>
      <c r="E56" s="9">
        <v>3.5871772174695109E-2</v>
      </c>
      <c r="F56" s="9">
        <v>3.975534515123326E-2</v>
      </c>
      <c r="G56" s="9">
        <v>4.3905804193197361E-2</v>
      </c>
      <c r="H56" s="9">
        <v>5.314463336369217E-2</v>
      </c>
      <c r="I56" s="9">
        <v>6.393034372111174E-2</v>
      </c>
      <c r="J56" s="9">
        <v>6.9745112773841794E-2</v>
      </c>
      <c r="K56" s="9">
        <v>7.6755251227574178E-2</v>
      </c>
      <c r="L56" s="9">
        <v>8.414914651611545E-2</v>
      </c>
      <c r="M56" s="9">
        <v>9.2356125938666225E-2</v>
      </c>
      <c r="N56" s="9">
        <v>0.11188977882710366</v>
      </c>
    </row>
    <row r="57" spans="1:14">
      <c r="A57" s="8">
        <v>52</v>
      </c>
      <c r="C57" s="9">
        <v>1.9983594712603126E-2</v>
      </c>
      <c r="D57" s="9">
        <v>2.6331617131318062E-2</v>
      </c>
      <c r="E57" s="9">
        <v>3.3461411664801759E-2</v>
      </c>
      <c r="F57" s="9">
        <v>3.7373979636651018E-2</v>
      </c>
      <c r="G57" s="9">
        <v>4.1554489844615398E-2</v>
      </c>
      <c r="H57" s="9">
        <v>5.08567979441076E-2</v>
      </c>
      <c r="I57" s="9">
        <v>6.1710826417770689E-2</v>
      </c>
      <c r="J57" s="9">
        <v>6.7559933073872813E-2</v>
      </c>
      <c r="K57" s="9">
        <v>7.4609233280853463E-2</v>
      </c>
      <c r="L57" s="9">
        <v>8.2041882022797982E-2</v>
      </c>
      <c r="M57" s="9">
        <v>9.0288941397266634E-2</v>
      </c>
      <c r="N57" s="9">
        <v>0.10990646779669021</v>
      </c>
    </row>
    <row r="58" spans="1:14">
      <c r="A58" s="8">
        <v>53</v>
      </c>
      <c r="C58" s="9">
        <v>1.7295373527525696E-2</v>
      </c>
      <c r="D58" s="9">
        <v>2.3695782094075996E-2</v>
      </c>
      <c r="E58" s="9">
        <v>3.0881688663734499E-2</v>
      </c>
      <c r="F58" s="9">
        <v>3.4823835125613753E-2</v>
      </c>
      <c r="G58" s="9">
        <v>3.903500951277248E-2</v>
      </c>
      <c r="H58" s="9">
        <v>4.8402121672290313E-2</v>
      </c>
      <c r="I58" s="9">
        <v>5.9325945776516363E-2</v>
      </c>
      <c r="J58" s="9">
        <v>6.5210155126708996E-2</v>
      </c>
      <c r="K58" s="9">
        <v>7.229950974441382E-2</v>
      </c>
      <c r="L58" s="9">
        <v>7.9771817805570674E-2</v>
      </c>
      <c r="M58" s="9">
        <v>8.8059919130898653E-2</v>
      </c>
      <c r="N58" s="9">
        <v>0.10776342099786754</v>
      </c>
    </row>
    <row r="59" spans="1:14">
      <c r="A59" s="8">
        <v>54</v>
      </c>
      <c r="C59" s="9">
        <v>1.4419785404110722E-2</v>
      </c>
      <c r="D59" s="9">
        <v>2.0873338330565049E-2</v>
      </c>
      <c r="E59" s="9">
        <v>2.8116169114665718E-2</v>
      </c>
      <c r="F59" s="9">
        <v>3.208832207914903E-2</v>
      </c>
      <c r="G59" s="9">
        <v>3.6330604134455206E-2</v>
      </c>
      <c r="H59" s="9">
        <v>4.5763455891353021E-2</v>
      </c>
      <c r="I59" s="9">
        <v>5.6758077517092373E-2</v>
      </c>
      <c r="J59" s="9">
        <v>6.26778892194087E-2</v>
      </c>
      <c r="K59" s="9">
        <v>6.9807862748092878E-2</v>
      </c>
      <c r="L59" s="9">
        <v>7.7320380458925433E-2</v>
      </c>
      <c r="M59" s="9">
        <v>8.5650080097092074E-2</v>
      </c>
      <c r="N59" s="9">
        <v>0.10544064933444397</v>
      </c>
    </row>
    <row r="60" spans="1:14">
      <c r="A60" s="8">
        <v>55</v>
      </c>
      <c r="C60" s="9">
        <v>1.1362225392776558E-2</v>
      </c>
      <c r="D60" s="9">
        <v>1.7870456660294819E-2</v>
      </c>
      <c r="E60" s="9">
        <v>2.5171929077923771E-2</v>
      </c>
      <c r="F60" s="9">
        <v>2.9175028408181092E-2</v>
      </c>
      <c r="G60" s="9">
        <v>3.3449420213111335E-2</v>
      </c>
      <c r="H60" s="9">
        <v>4.2950232743343364E-2</v>
      </c>
      <c r="I60" s="9">
        <v>5.4018226617799432E-2</v>
      </c>
      <c r="J60" s="9">
        <v>5.997501950251051E-2</v>
      </c>
      <c r="K60" s="9">
        <v>6.7147264603201862E-2</v>
      </c>
      <c r="L60" s="9">
        <v>7.4701722603853632E-2</v>
      </c>
      <c r="M60" s="9">
        <v>8.3074924983112711E-2</v>
      </c>
      <c r="N60" s="9">
        <v>0.1029570146189033</v>
      </c>
    </row>
    <row r="61" spans="1:14">
      <c r="A61" s="8">
        <v>56</v>
      </c>
      <c r="C61" s="9">
        <v>8.08349771791801E-3</v>
      </c>
      <c r="D61" s="9">
        <v>1.4646742324254896E-2</v>
      </c>
      <c r="E61" s="9">
        <v>2.2007180306950883E-2</v>
      </c>
      <c r="F61" s="9">
        <v>2.6041380514933113E-2</v>
      </c>
      <c r="G61" s="9">
        <v>3.0348029132546524E-2</v>
      </c>
      <c r="H61" s="9">
        <v>3.9917063548906499E-2</v>
      </c>
      <c r="I61" s="9">
        <v>5.1058620540202881E-2</v>
      </c>
      <c r="J61" s="9">
        <v>5.7052447295860863E-2</v>
      </c>
      <c r="K61" s="9">
        <v>6.4266981258602793E-2</v>
      </c>
      <c r="L61" s="9">
        <v>7.18633435041761E-2</v>
      </c>
      <c r="M61" s="9">
        <v>8.0279943954410099E-2</v>
      </c>
      <c r="N61" s="9">
        <v>0.10025303487577517</v>
      </c>
    </row>
    <row r="62" spans="1:14">
      <c r="A62" s="8">
        <v>57</v>
      </c>
      <c r="C62" s="9">
        <v>4.5871947978259938E-3</v>
      </c>
      <c r="D62" s="9">
        <v>1.1206505045270652E-2</v>
      </c>
      <c r="E62" s="9">
        <v>1.8627066333457416E-2</v>
      </c>
      <c r="F62" s="9">
        <v>2.2692991903903791E-2</v>
      </c>
      <c r="G62" s="9">
        <v>2.7032556086694557E-2</v>
      </c>
      <c r="H62" s="9">
        <v>3.6671246560754316E-2</v>
      </c>
      <c r="I62" s="9">
        <v>4.7887984169005117E-2</v>
      </c>
      <c r="J62" s="9">
        <v>5.3919691014686189E-2</v>
      </c>
      <c r="K62" s="9">
        <v>6.1177509518894585E-2</v>
      </c>
      <c r="L62" s="9">
        <v>6.881679661989433E-2</v>
      </c>
      <c r="M62" s="9">
        <v>7.7277891627261078E-2</v>
      </c>
      <c r="N62" s="9">
        <v>9.7344434309044464E-2</v>
      </c>
    </row>
    <row r="63" spans="1:14">
      <c r="A63" s="8">
        <v>58</v>
      </c>
      <c r="C63" s="9">
        <v>8.5463835119865275E-4</v>
      </c>
      <c r="D63" s="9">
        <v>7.530861597706693E-3</v>
      </c>
      <c r="E63" s="9">
        <v>1.5012468019059958E-2</v>
      </c>
      <c r="F63" s="9">
        <v>1.9110611517125231E-2</v>
      </c>
      <c r="G63" s="9">
        <v>2.3483607218189893E-2</v>
      </c>
      <c r="H63" s="9">
        <v>3.319306366464015E-2</v>
      </c>
      <c r="I63" s="9">
        <v>4.4486210513814115E-2</v>
      </c>
      <c r="J63" s="9">
        <v>5.0556429784227717E-2</v>
      </c>
      <c r="K63" s="9">
        <v>5.78582670237799E-2</v>
      </c>
      <c r="L63" s="9">
        <v>6.5541219785806196E-2</v>
      </c>
      <c r="M63" s="9">
        <v>7.4047590823911519E-2</v>
      </c>
      <c r="N63" s="9">
        <v>9.4209269373044052E-2</v>
      </c>
    </row>
    <row r="64" spans="1:14">
      <c r="A64" s="8">
        <v>59</v>
      </c>
      <c r="D64" s="9">
        <v>3.599415774128964E-3</v>
      </c>
      <c r="E64" s="9">
        <v>1.1142706571378651E-2</v>
      </c>
      <c r="F64" s="9">
        <v>1.5273401810669997E-2</v>
      </c>
      <c r="G64" s="9">
        <v>1.9680172536032152E-2</v>
      </c>
      <c r="H64" s="9">
        <v>2.9461110937816112E-2</v>
      </c>
      <c r="I64" s="9">
        <v>4.0831418799975178E-2</v>
      </c>
      <c r="J64" s="9">
        <v>4.6940518457148098E-2</v>
      </c>
      <c r="K64" s="9">
        <v>5.4286783345174242E-2</v>
      </c>
      <c r="L64" s="9">
        <v>6.2013791937827412E-2</v>
      </c>
      <c r="M64" s="9">
        <v>7.0565822488882934E-2</v>
      </c>
      <c r="N64" s="9">
        <v>9.0823338116631319E-2</v>
      </c>
    </row>
    <row r="65" spans="1:14">
      <c r="A65" s="8">
        <v>60</v>
      </c>
      <c r="E65" s="9">
        <v>7.0250154779370935E-3</v>
      </c>
      <c r="F65" s="9">
        <v>1.1189205272966355E-2</v>
      </c>
      <c r="G65" s="9">
        <v>1.5630759053783673E-2</v>
      </c>
      <c r="H65" s="9">
        <v>2.5485424687407273E-2</v>
      </c>
      <c r="I65" s="9">
        <v>3.6935516381722218E-2</v>
      </c>
      <c r="J65" s="9">
        <v>4.3084910500284054E-2</v>
      </c>
      <c r="K65" s="9">
        <v>5.0477307123276277E-2</v>
      </c>
      <c r="L65" s="9">
        <v>5.8250167197733467E-2</v>
      </c>
      <c r="M65" s="9">
        <v>6.6849846946443109E-2</v>
      </c>
      <c r="N65" s="9">
        <v>8.7207911050749806E-2</v>
      </c>
    </row>
    <row r="66" spans="1:14">
      <c r="A66" s="8">
        <v>61</v>
      </c>
      <c r="E66" s="9">
        <v>2.6104119033939477E-3</v>
      </c>
      <c r="F66" s="9">
        <v>6.8082260262996366E-3</v>
      </c>
      <c r="G66" s="9">
        <v>1.1284687849067949E-2</v>
      </c>
      <c r="H66" s="9">
        <v>2.1213309617476628E-2</v>
      </c>
      <c r="I66" s="9">
        <v>3.2743369560413078E-2</v>
      </c>
      <c r="J66" s="9">
        <v>3.8933121900080192E-2</v>
      </c>
      <c r="K66" s="9">
        <v>4.637169486237451E-2</v>
      </c>
      <c r="L66" s="9">
        <v>5.4190416041212296E-2</v>
      </c>
      <c r="M66" s="9">
        <v>6.2837711552406833E-2</v>
      </c>
      <c r="N66" s="9">
        <v>8.329606216420414E-2</v>
      </c>
    </row>
    <row r="67" spans="1:14">
      <c r="A67" s="8">
        <v>62</v>
      </c>
      <c r="F67" s="9">
        <v>2.1053516554812622E-3</v>
      </c>
      <c r="G67" s="9">
        <v>6.6166163975111469E-3</v>
      </c>
      <c r="H67" s="9">
        <v>1.6618893845731904E-2</v>
      </c>
      <c r="I67" s="9">
        <v>2.8228459008241728E-2</v>
      </c>
      <c r="J67" s="9">
        <v>3.4458271342102616E-2</v>
      </c>
      <c r="K67" s="9">
        <v>4.1942616979537904E-2</v>
      </c>
      <c r="L67" s="9">
        <v>4.9806722197671231E-2</v>
      </c>
      <c r="M67" s="9">
        <v>5.8501043384889137E-2</v>
      </c>
      <c r="N67" s="9">
        <v>7.9058025434695978E-2</v>
      </c>
    </row>
    <row r="68" spans="1:14">
      <c r="A68" s="8">
        <v>63</v>
      </c>
      <c r="G68" s="9">
        <v>1.6347827412548127E-3</v>
      </c>
      <c r="H68" s="9">
        <v>1.1712018849329429E-2</v>
      </c>
      <c r="I68" s="9">
        <v>2.3402576154351262E-2</v>
      </c>
      <c r="J68" s="9">
        <v>2.9673235222065851E-2</v>
      </c>
      <c r="K68" s="9">
        <v>3.7204288246636665E-2</v>
      </c>
      <c r="L68" s="9">
        <v>4.5114746984542216E-2</v>
      </c>
      <c r="M68" s="9">
        <v>5.3857149867324199E-2</v>
      </c>
      <c r="N68" s="9">
        <v>7.4515187934317856E-2</v>
      </c>
    </row>
    <row r="69" spans="1:14">
      <c r="A69" s="8">
        <v>64</v>
      </c>
      <c r="H69" s="9">
        <v>6.472215154377502E-3</v>
      </c>
      <c r="I69" s="9">
        <v>1.8245346110562326E-2</v>
      </c>
      <c r="J69" s="9">
        <v>2.4557699552970363E-2</v>
      </c>
      <c r="K69" s="9">
        <v>3.2136477814863527E-2</v>
      </c>
      <c r="L69" s="9">
        <v>4.0094359198555057E-2</v>
      </c>
      <c r="M69" s="9">
        <v>4.8886025322376556E-2</v>
      </c>
      <c r="N69" s="9">
        <v>6.9647908921088547E-2</v>
      </c>
    </row>
    <row r="70" spans="1:14">
      <c r="A70" s="8">
        <v>65</v>
      </c>
      <c r="H70" s="9">
        <v>8.3910972249958272E-4</v>
      </c>
      <c r="I70" s="9">
        <v>1.2693795143542476E-2</v>
      </c>
      <c r="J70" s="9">
        <v>1.9047249923291938E-2</v>
      </c>
      <c r="K70" s="9">
        <v>2.6673000218628014E-2</v>
      </c>
      <c r="L70" s="9">
        <v>3.4677466569845182E-2</v>
      </c>
      <c r="M70" s="9">
        <v>4.3517416608695743E-2</v>
      </c>
      <c r="N70" s="9">
        <v>6.4380618427209393E-2</v>
      </c>
    </row>
    <row r="71" spans="1:14">
      <c r="A71" s="8">
        <v>66</v>
      </c>
      <c r="I71" s="9">
        <v>6.7198398260223417E-3</v>
      </c>
      <c r="J71" s="9">
        <v>1.3113547751381523E-2</v>
      </c>
      <c r="K71" s="9">
        <v>2.0785198150676431E-2</v>
      </c>
      <c r="L71" s="9">
        <v>2.8835062577252078E-2</v>
      </c>
      <c r="M71" s="9">
        <v>3.7721914070347334E-2</v>
      </c>
      <c r="N71" s="9">
        <v>5.8682882492150444E-2</v>
      </c>
    </row>
    <row r="72" spans="1:14">
      <c r="A72" s="8">
        <v>67</v>
      </c>
      <c r="I72" s="9">
        <v>3.4453558848501417E-4</v>
      </c>
      <c r="J72" s="9">
        <v>6.7792183428391529E-3</v>
      </c>
      <c r="K72" s="9">
        <v>1.4497630626986129E-2</v>
      </c>
      <c r="L72" s="9">
        <v>2.2593793281247766E-2</v>
      </c>
      <c r="M72" s="9">
        <v>3.1528535750689472E-2</v>
      </c>
      <c r="N72" s="9">
        <v>5.2589588589217813E-2</v>
      </c>
    </row>
    <row r="73" spans="1:14">
      <c r="A73" s="8">
        <v>68</v>
      </c>
      <c r="K73" s="9">
        <v>7.7450583543730743E-3</v>
      </c>
      <c r="L73" s="9">
        <v>1.5886854947346249E-2</v>
      </c>
      <c r="M73" s="9">
        <v>2.4868709459045821E-2</v>
      </c>
      <c r="N73" s="9">
        <v>4.6027833598730715E-2</v>
      </c>
    </row>
    <row r="74" spans="1:14">
      <c r="A74" s="8">
        <v>69</v>
      </c>
      <c r="K74" s="9">
        <v>5.1006315575488138E-4</v>
      </c>
      <c r="L74" s="9">
        <v>8.6973017847603116E-3</v>
      </c>
      <c r="M74" s="9">
        <v>1.7726027607965305E-2</v>
      </c>
      <c r="N74" s="9">
        <v>3.8982551194180926E-2</v>
      </c>
    </row>
    <row r="75" spans="1:14">
      <c r="A75" s="8">
        <v>70</v>
      </c>
      <c r="L75" s="9">
        <v>9.5286671836922405E-4</v>
      </c>
      <c r="M75" s="9">
        <v>1.0026316435544387E-2</v>
      </c>
      <c r="N75" s="9">
        <v>3.1374852786449137E-2</v>
      </c>
    </row>
    <row r="78" spans="1:14">
      <c r="A78" s="8" t="s">
        <v>241</v>
      </c>
      <c r="B78" s="8" t="s">
        <v>240</v>
      </c>
      <c r="C78" s="8" t="s">
        <v>239</v>
      </c>
      <c r="D78" s="9" t="s">
        <v>238</v>
      </c>
      <c r="E78" s="9" t="s">
        <v>237</v>
      </c>
      <c r="F78" s="8" t="s">
        <v>236</v>
      </c>
      <c r="G78" s="9" t="s">
        <v>235</v>
      </c>
      <c r="H78" s="9" t="s">
        <v>234</v>
      </c>
      <c r="I78" s="9" t="s">
        <v>233</v>
      </c>
      <c r="J78" s="9">
        <v>8.8217979099049923E-2</v>
      </c>
    </row>
    <row r="79" spans="1:14">
      <c r="A79" s="8" t="s">
        <v>129</v>
      </c>
    </row>
    <row r="80" spans="1:14">
      <c r="A80" s="8">
        <v>0</v>
      </c>
      <c r="B80" s="9">
        <v>4.4584965756741715E-2</v>
      </c>
      <c r="D80" s="9">
        <v>4.913979031609271E-2</v>
      </c>
      <c r="E80" s="9">
        <v>4.058747038203564E-2</v>
      </c>
      <c r="F80" s="9">
        <v>6.7844566855366856E-2</v>
      </c>
      <c r="G80" s="9">
        <f>I5</f>
        <v>6.7844566855366856E-2</v>
      </c>
      <c r="H80" s="9">
        <f>H5</f>
        <v>6.0536661896885613E-2</v>
      </c>
      <c r="I80" s="9">
        <f>I5</f>
        <v>6.7844566855366856E-2</v>
      </c>
    </row>
    <row r="81" spans="1:9">
      <c r="A81" s="8">
        <v>1</v>
      </c>
      <c r="B81" s="9">
        <v>5.427351519158486E-2</v>
      </c>
      <c r="D81" s="9">
        <v>5.9452375477267165E-2</v>
      </c>
      <c r="E81" s="9">
        <v>4.9740719176002618E-2</v>
      </c>
      <c r="F81" s="9">
        <v>8.0835514491859925E-2</v>
      </c>
      <c r="G81" s="9">
        <v>8.0835514491859925E-2</v>
      </c>
      <c r="H81" s="9">
        <v>7.246334766972036E-2</v>
      </c>
      <c r="I81" s="9">
        <v>8.0835514491859925E-2</v>
      </c>
    </row>
    <row r="82" spans="1:9">
      <c r="A82" s="8">
        <v>2</v>
      </c>
      <c r="B82" s="9">
        <v>5.7599088170823744E-2</v>
      </c>
      <c r="D82" s="9">
        <v>6.3000574466107281E-2</v>
      </c>
      <c r="E82" s="9">
        <v>5.2873433624598273E-2</v>
      </c>
      <c r="F82" s="9">
        <v>8.5316343006051204E-2</v>
      </c>
      <c r="G82" s="9">
        <v>8.5316343006051204E-2</v>
      </c>
      <c r="H82" s="9">
        <v>7.6577641966310811E-2</v>
      </c>
      <c r="I82" s="9">
        <v>8.5316343006051204E-2</v>
      </c>
    </row>
    <row r="83" spans="1:9">
      <c r="A83" s="8">
        <v>3</v>
      </c>
      <c r="B83" s="9">
        <v>5.9277379657406974E-2</v>
      </c>
      <c r="D83" s="9">
        <v>6.4798633009292061E-2</v>
      </c>
      <c r="E83" s="9">
        <v>5.4447063802927291E-2</v>
      </c>
      <c r="F83" s="9">
        <v>8.7606399285560993E-2</v>
      </c>
      <c r="G83" s="9">
        <v>8.7606399285560993E-2</v>
      </c>
      <c r="H83" s="9">
        <v>7.8675979508542104E-2</v>
      </c>
      <c r="I83" s="9">
        <v>8.7606399285560993E-2</v>
      </c>
    </row>
    <row r="84" spans="1:9">
      <c r="A84" s="8">
        <v>4</v>
      </c>
      <c r="B84" s="9">
        <v>6.0174413418042638E-2</v>
      </c>
      <c r="D84" s="9">
        <v>6.576755165945336E-2</v>
      </c>
      <c r="E84" s="9">
        <v>5.5280591701292653E-2</v>
      </c>
      <c r="F84" s="9">
        <v>8.8863585850345053E-2</v>
      </c>
      <c r="G84" s="9">
        <v>8.8863585850345053E-2</v>
      </c>
      <c r="H84" s="9">
        <v>7.9822011067397669E-2</v>
      </c>
      <c r="I84" s="9">
        <v>8.8863585850345053E-2</v>
      </c>
    </row>
    <row r="85" spans="1:9">
      <c r="A85" s="8">
        <v>5</v>
      </c>
      <c r="B85" s="9">
        <v>6.0633879391623596E-2</v>
      </c>
      <c r="D85" s="9">
        <v>6.6272564053525038E-2</v>
      </c>
      <c r="E85" s="9">
        <v>5.5699196482052564E-2</v>
      </c>
      <c r="F85" s="9">
        <v>8.9544891419464451E-2</v>
      </c>
      <c r="G85" s="9">
        <v>8.9544891419464451E-2</v>
      </c>
      <c r="H85" s="9">
        <v>8.0436425592726679E-2</v>
      </c>
      <c r="I85" s="9">
        <v>8.9544891419464451E-2</v>
      </c>
    </row>
    <row r="86" spans="1:9">
      <c r="A86" s="8">
        <v>6</v>
      </c>
      <c r="B86" s="9">
        <v>6.1109794753270226E-2</v>
      </c>
      <c r="D86" s="9">
        <v>6.6798675639545196E-2</v>
      </c>
      <c r="E86" s="9">
        <v>5.6130463821739598E-2</v>
      </c>
      <c r="F86" s="9">
        <v>9.0270123976310429E-2</v>
      </c>
      <c r="G86" s="9">
        <v>9.0270123976310429E-2</v>
      </c>
      <c r="H86" s="9">
        <v>8.1085141472130029E-2</v>
      </c>
      <c r="I86" s="9">
        <v>9.0270123976310429E-2</v>
      </c>
    </row>
    <row r="87" spans="1:9">
      <c r="A87" s="8">
        <v>7</v>
      </c>
      <c r="B87" s="9">
        <v>6.1344646782437361E-2</v>
      </c>
      <c r="D87" s="9">
        <v>6.7070288385491658E-2</v>
      </c>
      <c r="E87" s="9">
        <v>5.6332272045252957E-2</v>
      </c>
      <c r="F87" s="9">
        <v>9.0684595529749293E-2</v>
      </c>
      <c r="G87" s="9">
        <v>9.0684595529749293E-2</v>
      </c>
      <c r="H87" s="9">
        <v>8.1445158908065154E-2</v>
      </c>
      <c r="I87" s="9">
        <v>9.0684595529749293E-2</v>
      </c>
    </row>
    <row r="88" spans="1:9">
      <c r="A88" s="8">
        <v>8</v>
      </c>
      <c r="B88" s="9">
        <v>6.1418575711108502E-2</v>
      </c>
      <c r="D88" s="9">
        <v>6.7172389795957993E-2</v>
      </c>
      <c r="E88" s="9">
        <v>5.6380571506848651E-2</v>
      </c>
      <c r="F88" s="9">
        <v>9.0893631603425853E-2</v>
      </c>
      <c r="G88" s="9">
        <v>9.0893631603425853E-2</v>
      </c>
      <c r="H88" s="9">
        <v>8.1613811385029517E-2</v>
      </c>
      <c r="I88" s="9">
        <v>9.0893631603425853E-2</v>
      </c>
    </row>
    <row r="89" spans="1:9">
      <c r="A89" s="8">
        <v>9</v>
      </c>
      <c r="B89" s="9">
        <v>6.1357667468440354E-2</v>
      </c>
      <c r="D89" s="9">
        <v>6.7132360510239339E-2</v>
      </c>
      <c r="E89" s="9">
        <v>5.6300296655879142E-2</v>
      </c>
      <c r="F89" s="9">
        <v>9.0929608695756489E-2</v>
      </c>
      <c r="G89" s="9">
        <v>9.0929608695756489E-2</v>
      </c>
      <c r="H89" s="9">
        <v>8.1621595679659334E-2</v>
      </c>
      <c r="I89" s="9">
        <v>9.0929608695756489E-2</v>
      </c>
    </row>
    <row r="90" spans="1:9">
      <c r="A90" s="8">
        <v>10</v>
      </c>
      <c r="B90" s="9">
        <v>6.1204939297025647E-2</v>
      </c>
      <c r="D90" s="9">
        <v>7.3685331485118966E-2</v>
      </c>
      <c r="E90" s="9">
        <v>5.6132227310008297E-2</v>
      </c>
      <c r="F90" s="9">
        <v>9.0848848083596029E-2</v>
      </c>
      <c r="G90" s="9">
        <v>9.0848848083596029E-2</v>
      </c>
      <c r="H90" s="9">
        <v>8.1520638354076733E-2</v>
      </c>
      <c r="I90" s="9">
        <v>9.0848848083596029E-2</v>
      </c>
    </row>
    <row r="91" spans="1:9">
      <c r="A91" s="8">
        <v>11</v>
      </c>
      <c r="B91" s="9">
        <v>6.0904082238739797E-2</v>
      </c>
      <c r="D91" s="9">
        <v>7.3398008601427409E-2</v>
      </c>
      <c r="E91" s="9">
        <v>5.5823671519697228E-2</v>
      </c>
      <c r="F91" s="9">
        <v>9.0571164594313178E-2</v>
      </c>
      <c r="G91" s="9">
        <v>9.0571164594313178E-2</v>
      </c>
      <c r="H91" s="9">
        <v>8.1238733131589969E-2</v>
      </c>
      <c r="I91" s="9">
        <v>9.0571164594313178E-2</v>
      </c>
    </row>
    <row r="92" spans="1:9">
      <c r="A92" s="8">
        <v>12</v>
      </c>
      <c r="B92" s="9">
        <v>6.0558989724689247E-2</v>
      </c>
      <c r="D92" s="9">
        <v>7.3061338508751836E-2</v>
      </c>
      <c r="E92" s="9">
        <v>5.5472738173893622E-2</v>
      </c>
      <c r="F92" s="9">
        <v>9.0236029463402409E-2</v>
      </c>
      <c r="G92" s="9">
        <v>9.0236029463402409E-2</v>
      </c>
      <c r="H92" s="9">
        <v>8.0903919218317286E-2</v>
      </c>
      <c r="I92" s="9">
        <v>9.0236029463402409E-2</v>
      </c>
    </row>
    <row r="93" spans="1:9">
      <c r="A93" s="8">
        <v>13</v>
      </c>
      <c r="B93" s="9">
        <v>6.0177789957546128E-2</v>
      </c>
      <c r="D93" s="9">
        <v>7.2684367161148053E-2</v>
      </c>
      <c r="E93" s="9">
        <v>5.5087161867211694E-2</v>
      </c>
      <c r="F93" s="9">
        <v>8.9853580473511219E-2</v>
      </c>
      <c r="G93" s="9">
        <v>8.9853580473511219E-2</v>
      </c>
      <c r="H93" s="9">
        <v>8.052576925776625E-2</v>
      </c>
      <c r="I93" s="9">
        <v>8.9853580473511219E-2</v>
      </c>
    </row>
    <row r="94" spans="1:9">
      <c r="A94" s="8">
        <v>14</v>
      </c>
      <c r="B94" s="9">
        <v>5.9781447621368063E-2</v>
      </c>
      <c r="D94" s="9">
        <v>7.2291015737554254E-2</v>
      </c>
      <c r="E94" s="9">
        <v>5.4686729985053216E-2</v>
      </c>
      <c r="F94" s="9">
        <v>8.9451853469359507E-2</v>
      </c>
      <c r="G94" s="9">
        <v>8.9451853469359507E-2</v>
      </c>
      <c r="H94" s="9">
        <v>8.0130082715822615E-2</v>
      </c>
      <c r="I94" s="9">
        <v>8.9451853469359507E-2</v>
      </c>
    </row>
    <row r="95" spans="1:9">
      <c r="A95" s="8">
        <v>15</v>
      </c>
      <c r="B95" s="9">
        <v>5.9393041843157454E-2</v>
      </c>
      <c r="D95" s="9">
        <v>7.1907842110793679E-2</v>
      </c>
      <c r="E95" s="9">
        <v>5.9393041843157454E-2</v>
      </c>
      <c r="F95" s="9">
        <v>8.9062384090237826E-2</v>
      </c>
      <c r="G95" s="9">
        <v>8.9062384090237826E-2</v>
      </c>
      <c r="H95" s="9">
        <v>7.9745669119644022E-2</v>
      </c>
      <c r="I95" s="9">
        <v>8.9062384090237826E-2</v>
      </c>
    </row>
    <row r="96" spans="1:9">
      <c r="A96" s="8">
        <v>16</v>
      </c>
      <c r="B96" s="9">
        <v>5.9062243195263618E-2</v>
      </c>
      <c r="D96" s="9">
        <v>7.1592260128386515E-2</v>
      </c>
      <c r="E96" s="9">
        <v>5.9062243195263618E-2</v>
      </c>
      <c r="F96" s="9">
        <v>8.8753979512531347E-2</v>
      </c>
      <c r="G96" s="9">
        <v>8.8753979512531347E-2</v>
      </c>
      <c r="H96" s="9">
        <v>7.9435047749629728E-2</v>
      </c>
      <c r="I96" s="9">
        <v>8.8753979512531347E-2</v>
      </c>
    </row>
    <row r="97" spans="1:9">
      <c r="A97" s="8">
        <v>17</v>
      </c>
      <c r="B97" s="9">
        <v>5.8746344887168477E-2</v>
      </c>
      <c r="D97" s="9">
        <v>7.1295886309322334E-2</v>
      </c>
      <c r="E97" s="9">
        <v>5.8746344887168477E-2</v>
      </c>
      <c r="F97" s="9">
        <v>8.8470092646563248E-2</v>
      </c>
      <c r="G97" s="9">
        <v>8.8470092646563248E-2</v>
      </c>
      <c r="H97" s="9">
        <v>7.9146151394772074E-2</v>
      </c>
      <c r="I97" s="9">
        <v>8.8470092646563248E-2</v>
      </c>
    </row>
    <row r="98" spans="1:9">
      <c r="A98" s="8">
        <v>18</v>
      </c>
      <c r="B98" s="9">
        <v>5.8435000622579919E-2</v>
      </c>
      <c r="D98" s="9">
        <v>7.1007195743943791E-2</v>
      </c>
      <c r="E98" s="9">
        <v>5.8435000622579919E-2</v>
      </c>
      <c r="F98" s="9">
        <v>8.8197493280817094E-2</v>
      </c>
      <c r="G98" s="9">
        <v>8.8197493280817094E-2</v>
      </c>
      <c r="H98" s="9">
        <v>7.8866687782568834E-2</v>
      </c>
      <c r="I98" s="9">
        <v>8.8197493280817094E-2</v>
      </c>
    </row>
    <row r="99" spans="1:9">
      <c r="A99" s="8">
        <v>19</v>
      </c>
      <c r="B99" s="9">
        <v>5.8141681787402422E-2</v>
      </c>
      <c r="D99" s="9">
        <v>7.0741962090152224E-2</v>
      </c>
      <c r="E99" s="9">
        <v>5.8141681787402422E-2</v>
      </c>
      <c r="F99" s="9">
        <v>8.7955353565755887E-2</v>
      </c>
      <c r="G99" s="9">
        <v>8.7955353565755887E-2</v>
      </c>
      <c r="H99" s="9">
        <v>7.8613952074835097E-2</v>
      </c>
      <c r="I99" s="9">
        <v>8.7955353565755887E-2</v>
      </c>
    </row>
    <row r="100" spans="1:9">
      <c r="A100" s="8">
        <v>20</v>
      </c>
      <c r="B100" s="9">
        <v>5.7868828740650941E-2</v>
      </c>
      <c r="C100" s="9">
        <v>6.374308292765711E-2</v>
      </c>
      <c r="D100" s="9">
        <v>7.8391789335464201E-2</v>
      </c>
      <c r="E100" s="9">
        <v>5.7868828740650941E-2</v>
      </c>
      <c r="F100" s="9">
        <v>8.7748248209919083E-2</v>
      </c>
      <c r="G100" s="9">
        <v>8.7748248209919083E-2</v>
      </c>
      <c r="H100" s="9">
        <v>7.8391789335464201E-2</v>
      </c>
      <c r="I100" s="9">
        <v>8.7748248209919083E-2</v>
      </c>
    </row>
    <row r="101" spans="1:9">
      <c r="A101" s="8">
        <v>21</v>
      </c>
      <c r="B101" s="9">
        <v>5.7593551141387422E-2</v>
      </c>
      <c r="C101" s="9">
        <v>6.348675467271811E-2</v>
      </c>
      <c r="D101" s="9">
        <v>7.8172663493101716E-2</v>
      </c>
      <c r="E101" s="9">
        <v>5.7593551141387422E-2</v>
      </c>
      <c r="F101" s="9">
        <v>8.7546412639815371E-2</v>
      </c>
      <c r="G101" s="9">
        <v>8.7546412639815371E-2</v>
      </c>
      <c r="H101" s="9">
        <v>7.8172663493101716E-2</v>
      </c>
      <c r="I101" s="9">
        <v>8.7546412639815371E-2</v>
      </c>
    </row>
    <row r="102" spans="1:9">
      <c r="A102" s="8">
        <v>22</v>
      </c>
      <c r="B102" s="9">
        <v>5.7329054516331718E-2</v>
      </c>
      <c r="C102" s="9">
        <v>6.3243882054825284E-2</v>
      </c>
      <c r="D102" s="9">
        <v>7.7973583616936029E-2</v>
      </c>
      <c r="E102" s="9">
        <v>5.7329054516331718E-2</v>
      </c>
      <c r="F102" s="9">
        <v>8.7368734306761217E-2</v>
      </c>
      <c r="G102" s="9">
        <v>8.7368734306761217E-2</v>
      </c>
      <c r="H102" s="9">
        <v>7.7973583616936029E-2</v>
      </c>
      <c r="I102" s="9">
        <v>8.7368734306761217E-2</v>
      </c>
    </row>
    <row r="103" spans="1:9">
      <c r="A103" s="8">
        <v>23</v>
      </c>
      <c r="B103" s="9">
        <v>5.7063884773345099E-2</v>
      </c>
      <c r="C103" s="9">
        <v>6.3002495067119454E-2</v>
      </c>
      <c r="D103" s="9">
        <v>7.7781266368971674E-2</v>
      </c>
      <c r="E103" s="9">
        <v>5.7063884773345099E-2</v>
      </c>
      <c r="F103" s="9">
        <v>8.7201080441032669E-2</v>
      </c>
      <c r="G103" s="9">
        <v>8.7201080441032669E-2</v>
      </c>
      <c r="H103" s="9">
        <v>7.7781266368971674E-2</v>
      </c>
      <c r="I103" s="9">
        <v>8.7201080441032669E-2</v>
      </c>
    </row>
    <row r="104" spans="1:9">
      <c r="A104" s="8">
        <v>24</v>
      </c>
      <c r="B104" s="9">
        <v>5.6798451050047841E-2</v>
      </c>
      <c r="C104" s="9">
        <v>6.2763243999864632E-2</v>
      </c>
      <c r="D104" s="9">
        <v>7.7597034833234227E-2</v>
      </c>
      <c r="E104" s="9">
        <v>5.6798451050047841E-2</v>
      </c>
      <c r="F104" s="9">
        <v>8.7045257164911752E-2</v>
      </c>
      <c r="G104" s="9">
        <v>8.7045257164911752E-2</v>
      </c>
      <c r="H104" s="9">
        <v>7.7597034833234227E-2</v>
      </c>
      <c r="I104" s="9">
        <v>8.7045257164911752E-2</v>
      </c>
    </row>
    <row r="105" spans="1:9">
      <c r="A105" s="8">
        <v>25</v>
      </c>
      <c r="B105" s="9">
        <v>5.6519627573842858E-2</v>
      </c>
      <c r="C105" s="9">
        <v>6.2512388449983886E-2</v>
      </c>
      <c r="D105" s="9">
        <v>7.7405570308547098E-2</v>
      </c>
      <c r="E105" s="9">
        <v>5.6519627573842858E-2</v>
      </c>
      <c r="F105" s="9">
        <v>8.6884914359036586E-2</v>
      </c>
      <c r="G105" s="9">
        <v>8.6884914359036586E-2</v>
      </c>
      <c r="H105" s="9">
        <v>7.7405570308547098E-2</v>
      </c>
      <c r="I105" s="9">
        <v>8.6884914359036586E-2</v>
      </c>
    </row>
    <row r="106" spans="1:9">
      <c r="A106" s="8">
        <v>26</v>
      </c>
      <c r="B106" s="9">
        <v>5.6212510400734307E-2</v>
      </c>
      <c r="C106" s="9">
        <v>6.2234267633634877E-2</v>
      </c>
      <c r="D106" s="9">
        <v>7.7189237763407179E-2</v>
      </c>
      <c r="E106" s="9">
        <v>5.6212510400734307E-2</v>
      </c>
      <c r="F106" s="9">
        <v>8.6701101449926307E-2</v>
      </c>
      <c r="G106" s="9">
        <v>8.6701101449926307E-2</v>
      </c>
      <c r="H106" s="9">
        <v>7.7189237763407179E-2</v>
      </c>
      <c r="I106" s="9">
        <v>8.6701101449926307E-2</v>
      </c>
    </row>
    <row r="107" spans="1:9">
      <c r="A107" s="8">
        <v>27</v>
      </c>
      <c r="B107" s="9">
        <v>5.5888253891772689E-2</v>
      </c>
      <c r="C107" s="9">
        <v>6.1940914588630325E-2</v>
      </c>
      <c r="D107" s="9">
        <v>7.6962391855948026E-2</v>
      </c>
      <c r="E107" s="9">
        <v>5.5888253891772689E-2</v>
      </c>
      <c r="F107" s="9">
        <v>8.6509744508747807E-2</v>
      </c>
      <c r="G107" s="9">
        <v>8.6509744508747807E-2</v>
      </c>
      <c r="H107" s="9">
        <v>7.6962391855948026E-2</v>
      </c>
      <c r="I107" s="9">
        <v>8.6509744508747807E-2</v>
      </c>
    </row>
    <row r="108" spans="1:9">
      <c r="A108" s="8">
        <v>28</v>
      </c>
      <c r="B108" s="9">
        <v>5.5531125864455327E-2</v>
      </c>
      <c r="C108" s="9">
        <v>6.1615825247410605E-2</v>
      </c>
      <c r="D108" s="9">
        <v>7.6706522651846312E-2</v>
      </c>
      <c r="E108" s="9">
        <v>5.5531125864455327E-2</v>
      </c>
      <c r="F108" s="9">
        <v>8.6291003098906693E-2</v>
      </c>
      <c r="G108" s="9">
        <v>8.6291003098906693E-2</v>
      </c>
      <c r="H108" s="9">
        <v>7.6706522651846312E-2</v>
      </c>
      <c r="I108" s="9">
        <v>8.6291003098906693E-2</v>
      </c>
    </row>
    <row r="109" spans="1:9">
      <c r="A109" s="8">
        <v>29</v>
      </c>
      <c r="B109" s="9">
        <v>5.5152237322925582E-2</v>
      </c>
      <c r="C109" s="9">
        <v>6.1271000613963691E-2</v>
      </c>
      <c r="D109" s="9">
        <v>7.6435988696716514E-2</v>
      </c>
      <c r="E109" s="9">
        <v>5.5152237322925582E-2</v>
      </c>
      <c r="F109" s="9">
        <v>8.6060837356245673E-2</v>
      </c>
      <c r="G109" s="9">
        <v>8.6060837356245673E-2</v>
      </c>
      <c r="H109" s="9">
        <v>7.6435988696716514E-2</v>
      </c>
      <c r="I109" s="9">
        <v>8.6060837356245673E-2</v>
      </c>
    </row>
    <row r="110" spans="1:9">
      <c r="A110" s="8">
        <v>30</v>
      </c>
      <c r="B110" s="9">
        <v>6.7924064097517223E-2</v>
      </c>
      <c r="C110" s="9">
        <v>6.7924064097517223E-2</v>
      </c>
      <c r="D110" s="9">
        <v>8.5778617202159305E-2</v>
      </c>
      <c r="E110" s="9">
        <f>D35</f>
        <v>5.4720176487018289E-2</v>
      </c>
      <c r="F110" s="9">
        <v>8.5778617202159305E-2</v>
      </c>
      <c r="G110" s="9">
        <v>8.5778617202159305E-2</v>
      </c>
      <c r="H110" s="9">
        <v>7.6113165888539128E-2</v>
      </c>
      <c r="I110" s="9">
        <v>8.5778617202159305E-2</v>
      </c>
    </row>
    <row r="111" spans="1:9">
      <c r="A111" s="8">
        <v>31</v>
      </c>
      <c r="B111" s="9">
        <v>6.7520952153985181E-2</v>
      </c>
      <c r="C111" s="9">
        <v>6.7520952153985181E-2</v>
      </c>
      <c r="D111" s="9">
        <v>8.545737624822633E-2</v>
      </c>
      <c r="E111" s="9">
        <v>6.0432663325931384E-2</v>
      </c>
      <c r="F111" s="9">
        <v>8.545737624822633E-2</v>
      </c>
      <c r="G111" s="9">
        <v>8.545737624822633E-2</v>
      </c>
      <c r="H111" s="9">
        <v>7.5749835767966719E-2</v>
      </c>
      <c r="I111" s="9">
        <v>8.545737624822633E-2</v>
      </c>
    </row>
    <row r="112" spans="1:9">
      <c r="A112" s="8">
        <v>32</v>
      </c>
      <c r="B112" s="9">
        <v>6.7054045699743506E-2</v>
      </c>
      <c r="C112" s="9">
        <v>6.7054045699743506E-2</v>
      </c>
      <c r="D112" s="9">
        <v>8.507183633889992E-2</v>
      </c>
      <c r="E112" s="9">
        <v>5.9928290760647998E-2</v>
      </c>
      <c r="F112" s="9">
        <v>8.507183633889992E-2</v>
      </c>
      <c r="G112" s="9">
        <v>8.507183633889992E-2</v>
      </c>
      <c r="H112" s="9">
        <v>7.5322537044741539E-2</v>
      </c>
      <c r="I112" s="9">
        <v>8.507183633889992E-2</v>
      </c>
    </row>
    <row r="113" spans="1:9">
      <c r="A113" s="8">
        <v>33</v>
      </c>
      <c r="B113" s="9">
        <v>6.6550922193321871E-2</v>
      </c>
      <c r="C113" s="9">
        <v>6.6550922193321871E-2</v>
      </c>
      <c r="D113" s="9">
        <v>8.4654718459494779E-2</v>
      </c>
      <c r="E113" s="9">
        <v>5.9385851973299923E-2</v>
      </c>
      <c r="F113" s="9">
        <v>8.4654718459494779E-2</v>
      </c>
      <c r="G113" s="9">
        <v>8.4654718459494779E-2</v>
      </c>
      <c r="H113" s="9">
        <v>7.4861158158121624E-2</v>
      </c>
      <c r="I113" s="9">
        <v>8.4654718459494779E-2</v>
      </c>
    </row>
    <row r="114" spans="1:9">
      <c r="A114" s="8">
        <v>34</v>
      </c>
      <c r="B114" s="9">
        <v>6.5990025998316118E-2</v>
      </c>
      <c r="C114" s="9">
        <v>6.5990025998316118E-2</v>
      </c>
      <c r="D114" s="9">
        <v>8.4181514375406427E-2</v>
      </c>
      <c r="E114" s="9">
        <v>5.8784896374020873E-2</v>
      </c>
      <c r="F114" s="9">
        <v>8.4181514375406427E-2</v>
      </c>
      <c r="G114" s="9">
        <v>8.4181514375406427E-2</v>
      </c>
      <c r="H114" s="9">
        <v>7.4342814929458448E-2</v>
      </c>
      <c r="I114" s="9">
        <v>8.4181514375406427E-2</v>
      </c>
    </row>
    <row r="115" spans="1:9">
      <c r="A115" s="8">
        <v>35</v>
      </c>
      <c r="B115" s="9">
        <v>6.5382922357438575E-2</v>
      </c>
      <c r="C115" s="9">
        <v>6.5382922357438575E-2</v>
      </c>
      <c r="D115" s="9">
        <v>8.3666347994546503E-2</v>
      </c>
      <c r="E115" s="9">
        <v>5.8136038952643659E-2</v>
      </c>
      <c r="F115" s="9">
        <v>8.3666347994546503E-2</v>
      </c>
      <c r="G115" s="9">
        <v>8.3666347994546503E-2</v>
      </c>
      <c r="H115" s="9">
        <v>7.3780220033605862E-2</v>
      </c>
      <c r="I115" s="9">
        <v>8.3666347994546503E-2</v>
      </c>
    </row>
    <row r="116" spans="1:9">
      <c r="A116" s="8">
        <v>36</v>
      </c>
      <c r="B116" s="9">
        <v>6.4687972480175063E-2</v>
      </c>
      <c r="C116" s="9">
        <v>6.4687972480175063E-2</v>
      </c>
      <c r="D116" s="9">
        <v>8.3061254524086081E-2</v>
      </c>
      <c r="E116" s="9">
        <v>5.7399992601013611E-2</v>
      </c>
      <c r="F116" s="9">
        <v>8.3061254524086081E-2</v>
      </c>
      <c r="G116" s="9">
        <v>8.3061254524086081E-2</v>
      </c>
      <c r="H116" s="9">
        <v>7.3128896194870077E-2</v>
      </c>
      <c r="I116" s="9">
        <v>8.3061254524086081E-2</v>
      </c>
    </row>
    <row r="117" spans="1:9">
      <c r="A117" s="8">
        <v>37</v>
      </c>
      <c r="B117" s="9">
        <v>6.3950874515629003E-2</v>
      </c>
      <c r="C117" s="9">
        <v>6.3950874515629003E-2</v>
      </c>
      <c r="D117" s="9">
        <v>8.2419987352154639E-2</v>
      </c>
      <c r="E117" s="9">
        <v>5.6619446592962655E-2</v>
      </c>
      <c r="F117" s="9">
        <v>8.2419987352154639E-2</v>
      </c>
      <c r="G117" s="9">
        <v>8.2419987352154639E-2</v>
      </c>
      <c r="H117" s="9">
        <v>7.2438162382893259E-2</v>
      </c>
      <c r="I117" s="9">
        <v>8.2419987352154639E-2</v>
      </c>
    </row>
    <row r="118" spans="1:9">
      <c r="A118" s="8">
        <v>38</v>
      </c>
      <c r="B118" s="9">
        <v>6.3129637347572709E-2</v>
      </c>
      <c r="C118" s="9">
        <v>6.3129637347572709E-2</v>
      </c>
      <c r="D118" s="9">
        <v>8.1694486279322368E-2</v>
      </c>
      <c r="E118" s="9">
        <v>5.5754677854443033E-2</v>
      </c>
      <c r="F118" s="9">
        <v>8.1694486279322368E-2</v>
      </c>
      <c r="G118" s="9">
        <v>8.1694486279322368E-2</v>
      </c>
      <c r="H118" s="9">
        <v>7.1663298722512161E-2</v>
      </c>
      <c r="I118" s="9">
        <v>8.1694486279322368E-2</v>
      </c>
    </row>
    <row r="119" spans="1:9">
      <c r="A119" s="8">
        <v>39</v>
      </c>
      <c r="B119" s="9">
        <v>6.2233950056843894E-2</v>
      </c>
      <c r="C119" s="9">
        <v>6.2233950056843894E-2</v>
      </c>
      <c r="D119" s="9">
        <v>8.0896577111695386E-2</v>
      </c>
      <c r="E119" s="9">
        <v>5.4814568048966915E-2</v>
      </c>
      <c r="F119" s="9">
        <v>8.0896577111695386E-2</v>
      </c>
      <c r="G119" s="9">
        <v>8.0896577111695386E-2</v>
      </c>
      <c r="H119" s="9">
        <v>7.0814959026968161E-2</v>
      </c>
      <c r="I119" s="9">
        <v>8.0896577111695386E-2</v>
      </c>
    </row>
    <row r="120" spans="1:9">
      <c r="A120" s="8">
        <v>40</v>
      </c>
      <c r="B120" s="9">
        <v>6.9884759290726364E-2</v>
      </c>
      <c r="C120" s="9">
        <v>6.9884759290726364E-2</v>
      </c>
      <c r="D120" s="9">
        <v>9.2144316829762443E-2</v>
      </c>
      <c r="E120" s="9">
        <v>5.3791231313024372E-2</v>
      </c>
      <c r="F120" s="9">
        <v>8.0017534367637907E-2</v>
      </c>
      <c r="G120" s="9">
        <v>8.0017534367637907E-2</v>
      </c>
      <c r="H120" s="9">
        <v>6.9884759290726364E-2</v>
      </c>
      <c r="I120" s="9">
        <v>8.0017534367637907E-2</v>
      </c>
    </row>
    <row r="121" spans="1:9">
      <c r="A121" s="8">
        <v>41</v>
      </c>
      <c r="B121" s="9">
        <v>6.8884686495026506E-2</v>
      </c>
      <c r="C121" s="9">
        <v>6.8884686495026506E-2</v>
      </c>
      <c r="D121" s="9">
        <v>9.1254297583290234E-2</v>
      </c>
      <c r="E121" s="9">
        <v>6.0205752398072993E-2</v>
      </c>
      <c r="F121" s="9">
        <v>7.9070728038184157E-2</v>
      </c>
      <c r="G121" s="9">
        <v>7.9070728038184157E-2</v>
      </c>
      <c r="H121" s="9">
        <v>6.8884686495026506E-2</v>
      </c>
      <c r="I121" s="9">
        <v>7.9070728038184157E-2</v>
      </c>
    </row>
    <row r="122" spans="1:9">
      <c r="A122" s="8">
        <v>42</v>
      </c>
      <c r="B122" s="9">
        <v>6.7785473977692329E-2</v>
      </c>
      <c r="C122" s="9">
        <v>6.7785473977692329E-2</v>
      </c>
      <c r="D122" s="9">
        <v>9.0265299125550869E-2</v>
      </c>
      <c r="E122" s="9">
        <v>5.9056430466247867E-2</v>
      </c>
      <c r="F122" s="9">
        <v>7.8024931868235767E-2</v>
      </c>
      <c r="G122" s="9">
        <v>7.8024931868235767E-2</v>
      </c>
      <c r="H122" s="9">
        <v>6.7785473977692329E-2</v>
      </c>
      <c r="I122" s="9">
        <v>7.8024931868235767E-2</v>
      </c>
    </row>
    <row r="123" spans="1:9">
      <c r="A123" s="8">
        <v>43</v>
      </c>
      <c r="B123" s="9">
        <v>6.6597702707836159E-2</v>
      </c>
      <c r="C123" s="9">
        <v>6.6597702707836159E-2</v>
      </c>
      <c r="D123" s="9">
        <v>8.9190673281270116E-2</v>
      </c>
      <c r="E123" s="9">
        <v>5.7817299847125747E-2</v>
      </c>
      <c r="F123" s="9">
        <v>7.6891963963478874E-2</v>
      </c>
      <c r="G123" s="9">
        <v>7.6891963963478874E-2</v>
      </c>
      <c r="H123" s="9">
        <v>6.6597702707836159E-2</v>
      </c>
      <c r="I123" s="9">
        <v>7.6891963963478874E-2</v>
      </c>
    </row>
    <row r="124" spans="1:9">
      <c r="A124" s="8">
        <v>44</v>
      </c>
      <c r="B124" s="9">
        <v>6.5334090698102421E-2</v>
      </c>
      <c r="C124" s="9">
        <v>6.5334090698102421E-2</v>
      </c>
      <c r="D124" s="9">
        <v>8.8046632936065378E-2</v>
      </c>
      <c r="E124" s="9">
        <v>5.6499818962849793E-2</v>
      </c>
      <c r="F124" s="9">
        <v>7.5686090643246745E-2</v>
      </c>
      <c r="G124" s="9">
        <v>7.5686090643246745E-2</v>
      </c>
      <c r="H124" s="9">
        <v>6.5334090698102421E-2</v>
      </c>
      <c r="I124" s="9">
        <v>7.5686090643246745E-2</v>
      </c>
    </row>
    <row r="125" spans="1:9">
      <c r="A125" s="8">
        <v>45</v>
      </c>
      <c r="B125" s="9">
        <v>6.3941158646261168E-2</v>
      </c>
      <c r="C125" s="9">
        <v>6.3941158646261168E-2</v>
      </c>
      <c r="D125" s="9">
        <v>8.6771237631406331E-2</v>
      </c>
      <c r="E125" s="9">
        <v>5.5053577869558626E-2</v>
      </c>
      <c r="F125" s="9">
        <v>7.4350073880599887E-2</v>
      </c>
      <c r="G125" s="9">
        <v>7.4350073880599887E-2</v>
      </c>
      <c r="H125" s="9">
        <v>6.3941158646261168E-2</v>
      </c>
      <c r="I125" s="9">
        <v>7.4350073880599887E-2</v>
      </c>
    </row>
    <row r="126" spans="1:9">
      <c r="A126" s="8">
        <v>46</v>
      </c>
      <c r="B126" s="9">
        <v>6.2450216669055467E-2</v>
      </c>
      <c r="C126" s="9">
        <v>6.2450216669055467E-2</v>
      </c>
      <c r="D126" s="9">
        <v>8.5402300047337593E-2</v>
      </c>
      <c r="E126" s="9">
        <v>5.3507506986869777E-2</v>
      </c>
      <c r="F126" s="9">
        <v>7.291812239757739E-2</v>
      </c>
      <c r="G126" s="9">
        <v>7.291812239757739E-2</v>
      </c>
      <c r="H126" s="9">
        <v>6.2450216669055467E-2</v>
      </c>
      <c r="I126" s="9">
        <v>7.291812239757739E-2</v>
      </c>
    </row>
    <row r="127" spans="1:9">
      <c r="A127" s="8">
        <v>47</v>
      </c>
      <c r="B127" s="9">
        <v>6.0850961580481457E-2</v>
      </c>
      <c r="C127" s="9">
        <v>6.0850961580481457E-2</v>
      </c>
      <c r="D127" s="9">
        <v>8.3929064707984141E-2</v>
      </c>
      <c r="E127" s="9">
        <v>5.1851473882766612E-2</v>
      </c>
      <c r="F127" s="9">
        <v>7.1379728728451275E-2</v>
      </c>
      <c r="G127" s="9">
        <v>7.1379728728451275E-2</v>
      </c>
      <c r="H127" s="9">
        <v>6.0850961580481457E-2</v>
      </c>
      <c r="I127" s="9">
        <v>7.1379728728451275E-2</v>
      </c>
    </row>
    <row r="128" spans="1:9">
      <c r="A128" s="8">
        <v>48</v>
      </c>
      <c r="B128" s="9">
        <v>5.9131868896402491E-2</v>
      </c>
      <c r="C128" s="9">
        <v>5.9131868896402491E-2</v>
      </c>
      <c r="D128" s="9">
        <v>8.2339372502864966E-2</v>
      </c>
      <c r="E128" s="9">
        <v>5.0074188347398768E-2</v>
      </c>
      <c r="F128" s="9">
        <v>6.9723084410547559E-2</v>
      </c>
      <c r="G128" s="9">
        <v>6.9723084410547559E-2</v>
      </c>
      <c r="H128" s="9">
        <v>5.9131868896402491E-2</v>
      </c>
      <c r="I128" s="9">
        <v>6.9723084410547559E-2</v>
      </c>
    </row>
    <row r="129" spans="1:9">
      <c r="A129" s="8">
        <v>49</v>
      </c>
      <c r="B129" s="9">
        <v>5.728004691649289E-2</v>
      </c>
      <c r="C129" s="9">
        <v>5.728004691649289E-2</v>
      </c>
      <c r="D129" s="9">
        <v>8.06194744446702E-2</v>
      </c>
      <c r="E129" s="9">
        <v>4.8163069423373672E-2</v>
      </c>
      <c r="F129" s="9">
        <v>6.7934917006456583E-2</v>
      </c>
      <c r="G129" s="9">
        <v>6.7934917006456583E-2</v>
      </c>
      <c r="H129" s="9">
        <v>5.728004691649289E-2</v>
      </c>
      <c r="I129" s="9">
        <v>6.7934917006456583E-2</v>
      </c>
    </row>
    <row r="130" spans="1:9">
      <c r="A130" s="8">
        <v>50</v>
      </c>
      <c r="B130" s="9">
        <v>6.600031238445489E-2</v>
      </c>
      <c r="C130" s="9">
        <v>6.600031238445489E-2</v>
      </c>
      <c r="D130" s="9">
        <v>8.6110140550628683E-2</v>
      </c>
      <c r="E130" s="9">
        <v>5.5281078494386342E-2</v>
      </c>
      <c r="F130" s="9">
        <v>6.600031238445489E-2</v>
      </c>
      <c r="G130" s="9">
        <v>6.600031238445489E-2</v>
      </c>
      <c r="H130" s="9">
        <v>5.5281078494386342E-2</v>
      </c>
      <c r="I130" s="9">
        <v>7.8753827049950154E-2</v>
      </c>
    </row>
    <row r="131" spans="1:9">
      <c r="A131" s="8">
        <v>51</v>
      </c>
      <c r="B131" s="9">
        <v>6.393034372111174E-2</v>
      </c>
      <c r="C131" s="9">
        <v>6.393034372111174E-2</v>
      </c>
      <c r="D131" s="9">
        <v>8.414914651611545E-2</v>
      </c>
      <c r="E131" s="9">
        <v>5.314463336369217E-2</v>
      </c>
      <c r="F131" s="9">
        <v>6.9745112773841794E-2</v>
      </c>
      <c r="G131" s="9">
        <v>6.393034372111174E-2</v>
      </c>
      <c r="H131" s="9">
        <v>5.314463336369217E-2</v>
      </c>
      <c r="I131" s="9">
        <v>7.6755251227574178E-2</v>
      </c>
    </row>
    <row r="132" spans="1:9">
      <c r="A132" s="8">
        <v>52</v>
      </c>
      <c r="B132" s="9">
        <v>6.1710826417770689E-2</v>
      </c>
      <c r="C132" s="9">
        <v>6.1710826417770689E-2</v>
      </c>
      <c r="D132" s="9">
        <v>8.2041882022797982E-2</v>
      </c>
      <c r="E132" s="9">
        <v>5.08567979441076E-2</v>
      </c>
      <c r="F132" s="9">
        <v>6.7559933073872813E-2</v>
      </c>
      <c r="G132" s="9">
        <v>6.1710826417770689E-2</v>
      </c>
      <c r="H132" s="9">
        <v>5.08567979441076E-2</v>
      </c>
      <c r="I132" s="9">
        <v>7.4609233280853463E-2</v>
      </c>
    </row>
    <row r="133" spans="1:9">
      <c r="A133" s="8">
        <v>53</v>
      </c>
      <c r="B133" s="9">
        <v>5.9325945776516363E-2</v>
      </c>
      <c r="C133" s="9">
        <v>5.9325945776516363E-2</v>
      </c>
      <c r="D133" s="9">
        <v>7.9771817805570674E-2</v>
      </c>
      <c r="E133" s="9">
        <v>4.8402121672290313E-2</v>
      </c>
      <c r="F133" s="9">
        <v>6.5210155126708996E-2</v>
      </c>
      <c r="G133" s="9">
        <v>5.9325945776516363E-2</v>
      </c>
      <c r="H133" s="9">
        <v>4.8402121672290313E-2</v>
      </c>
      <c r="I133" s="9">
        <v>7.229950974441382E-2</v>
      </c>
    </row>
    <row r="134" spans="1:9">
      <c r="A134" s="8">
        <v>54</v>
      </c>
      <c r="B134" s="9">
        <v>5.6758077517092373E-2</v>
      </c>
      <c r="C134" s="9">
        <v>5.6758077517092373E-2</v>
      </c>
      <c r="D134" s="9">
        <v>7.7320380458925433E-2</v>
      </c>
      <c r="E134" s="9">
        <v>4.5763455891353021E-2</v>
      </c>
      <c r="F134" s="9">
        <v>6.26778892194087E-2</v>
      </c>
      <c r="G134" s="9">
        <v>5.6758077517092373E-2</v>
      </c>
      <c r="H134" s="9">
        <v>4.5763455891353021E-2</v>
      </c>
      <c r="I134" s="9">
        <v>6.9807862748092878E-2</v>
      </c>
    </row>
    <row r="135" spans="1:9">
      <c r="A135" s="8">
        <v>55</v>
      </c>
      <c r="B135" s="9">
        <v>5.4018226617799432E-2</v>
      </c>
      <c r="C135" s="9">
        <v>5.4018226617799432E-2</v>
      </c>
      <c r="D135" s="9">
        <v>7.4701722603853632E-2</v>
      </c>
      <c r="E135" s="9">
        <v>4.2950232743343364E-2</v>
      </c>
      <c r="F135" s="9">
        <v>5.997501950251051E-2</v>
      </c>
      <c r="G135" s="9">
        <v>5.4018226617799432E-2</v>
      </c>
      <c r="H135" s="9">
        <v>4.2950232743343364E-2</v>
      </c>
      <c r="I135" s="9">
        <v>6.7147264603201862E-2</v>
      </c>
    </row>
    <row r="136" spans="1:9">
      <c r="A136" s="8">
        <v>56</v>
      </c>
      <c r="B136" s="9">
        <v>5.1058620540202881E-2</v>
      </c>
      <c r="C136" s="9">
        <v>5.1058620540202881E-2</v>
      </c>
      <c r="D136" s="9">
        <v>7.18633435041761E-2</v>
      </c>
      <c r="E136" s="9">
        <v>3.9917063548906499E-2</v>
      </c>
      <c r="F136" s="9">
        <v>6.4266981258602793E-2</v>
      </c>
      <c r="G136" s="9">
        <v>5.1058620540202881E-2</v>
      </c>
      <c r="H136" s="9">
        <v>3.9917063548906499E-2</v>
      </c>
      <c r="I136" s="9">
        <v>6.4266981258602793E-2</v>
      </c>
    </row>
    <row r="137" spans="1:9">
      <c r="A137" s="8">
        <v>57</v>
      </c>
      <c r="B137" s="9">
        <v>4.7887984169005117E-2</v>
      </c>
      <c r="C137" s="9">
        <v>4.7887984169005117E-2</v>
      </c>
      <c r="D137" s="9">
        <v>6.881679661989433E-2</v>
      </c>
      <c r="E137" s="9">
        <v>3.6671246560754316E-2</v>
      </c>
      <c r="F137" s="9">
        <v>6.1177509518894585E-2</v>
      </c>
      <c r="G137" s="9">
        <v>4.7887984169005117E-2</v>
      </c>
      <c r="H137" s="9">
        <v>3.6671246560754316E-2</v>
      </c>
      <c r="I137" s="9">
        <v>6.1177509518894585E-2</v>
      </c>
    </row>
    <row r="138" spans="1:9">
      <c r="A138" s="8">
        <v>58</v>
      </c>
      <c r="B138" s="9">
        <v>4.4486210513814115E-2</v>
      </c>
      <c r="C138" s="9">
        <v>4.4486210513814115E-2</v>
      </c>
      <c r="D138" s="9">
        <v>6.5541219785806196E-2</v>
      </c>
      <c r="E138" s="9">
        <v>3.319306366464015E-2</v>
      </c>
      <c r="F138" s="9">
        <v>5.78582670237799E-2</v>
      </c>
      <c r="G138" s="9">
        <v>4.4486210513814115E-2</v>
      </c>
      <c r="H138" s="9">
        <v>3.319306366464015E-2</v>
      </c>
      <c r="I138" s="9">
        <v>5.78582670237799E-2</v>
      </c>
    </row>
    <row r="139" spans="1:9">
      <c r="A139" s="8">
        <v>59</v>
      </c>
      <c r="B139" s="9">
        <v>4.0831418799975178E-2</v>
      </c>
      <c r="C139" s="9">
        <v>4.0831418799975178E-2</v>
      </c>
      <c r="D139" s="9">
        <v>6.2013791937827412E-2</v>
      </c>
      <c r="E139" s="9">
        <v>2.9461110937816112E-2</v>
      </c>
      <c r="F139" s="9">
        <v>5.4286783345174242E-2</v>
      </c>
      <c r="G139" s="9">
        <v>4.0831418799975178E-2</v>
      </c>
      <c r="H139" s="9">
        <v>2.9461110937816112E-2</v>
      </c>
      <c r="I139" s="9">
        <v>5.4286783345174242E-2</v>
      </c>
    </row>
    <row r="140" spans="1:9">
      <c r="A140" s="8">
        <v>60</v>
      </c>
      <c r="B140" s="9">
        <v>5.0477307123276277E-2</v>
      </c>
      <c r="C140" s="9">
        <v>5.0477307123276277E-2</v>
      </c>
      <c r="D140" s="9">
        <v>6.6849846946443109E-2</v>
      </c>
      <c r="E140" s="9">
        <v>3.6935516381722218E-2</v>
      </c>
      <c r="F140" s="9">
        <v>5.0477307123276277E-2</v>
      </c>
      <c r="G140" s="9">
        <v>3.6935516381722218E-2</v>
      </c>
      <c r="H140" s="9">
        <v>2.5485424687407273E-2</v>
      </c>
      <c r="I140" s="9">
        <v>5.8250167197733467E-2</v>
      </c>
    </row>
    <row r="141" spans="1:9">
      <c r="A141" s="8">
        <v>61</v>
      </c>
      <c r="B141" s="9">
        <v>4.637169486237451E-2</v>
      </c>
      <c r="C141" s="9">
        <v>4.637169486237451E-2</v>
      </c>
      <c r="D141" s="9">
        <v>6.2837711552406833E-2</v>
      </c>
      <c r="E141" s="9">
        <v>3.2743369560413078E-2</v>
      </c>
      <c r="F141" s="9">
        <v>5.4190416041212296E-2</v>
      </c>
      <c r="G141" s="9">
        <v>3.2743369560413078E-2</v>
      </c>
      <c r="H141" s="9">
        <v>2.1213309617476628E-2</v>
      </c>
      <c r="I141" s="9">
        <v>5.4190416041212296E-2</v>
      </c>
    </row>
    <row r="142" spans="1:9">
      <c r="A142" s="8">
        <v>62</v>
      </c>
      <c r="B142" s="9">
        <v>4.1942616979537904E-2</v>
      </c>
      <c r="C142" s="9">
        <v>4.1942616979537904E-2</v>
      </c>
      <c r="D142" s="9">
        <v>5.8501043384889137E-2</v>
      </c>
      <c r="E142" s="9">
        <v>2.8228459008241728E-2</v>
      </c>
      <c r="F142" s="9">
        <v>4.9806722197671231E-2</v>
      </c>
      <c r="G142" s="9">
        <v>2.8228459008241728E-2</v>
      </c>
      <c r="H142" s="9">
        <v>1.6618893845731904E-2</v>
      </c>
      <c r="I142" s="9">
        <v>4.9806722197671231E-2</v>
      </c>
    </row>
    <row r="143" spans="1:9">
      <c r="A143" s="8">
        <v>63</v>
      </c>
      <c r="B143" s="9">
        <v>3.7204288246636665E-2</v>
      </c>
      <c r="C143" s="9">
        <v>3.7204288246636665E-2</v>
      </c>
      <c r="D143" s="9">
        <v>5.3857149867324199E-2</v>
      </c>
      <c r="E143" s="9">
        <v>2.3402576154351262E-2</v>
      </c>
      <c r="F143" s="9">
        <v>4.5114746984542216E-2</v>
      </c>
      <c r="G143" s="9">
        <v>2.3402576154351262E-2</v>
      </c>
      <c r="H143" s="9">
        <v>1.1712018849329429E-2</v>
      </c>
      <c r="I143" s="9">
        <v>4.5114746984542216E-2</v>
      </c>
    </row>
    <row r="144" spans="1:9">
      <c r="A144" s="8">
        <v>64</v>
      </c>
      <c r="B144" s="9">
        <v>3.2136477814863527E-2</v>
      </c>
      <c r="C144" s="9">
        <v>3.2136477814863527E-2</v>
      </c>
      <c r="D144" s="9">
        <v>4.8886025322376556E-2</v>
      </c>
      <c r="E144" s="9">
        <v>1.8245346110562326E-2</v>
      </c>
      <c r="F144" s="9">
        <v>4.0094359198555057E-2</v>
      </c>
      <c r="G144" s="9">
        <v>1.8245346110562326E-2</v>
      </c>
      <c r="H144" s="9">
        <v>6.472215154377502E-3</v>
      </c>
      <c r="I144" s="9">
        <v>4.0094359198555057E-2</v>
      </c>
    </row>
    <row r="145" spans="1:9">
      <c r="A145" s="8">
        <v>65</v>
      </c>
      <c r="B145" s="9">
        <v>3.4677466569845182E-2</v>
      </c>
      <c r="C145" s="9">
        <v>4.3517416608695743E-2</v>
      </c>
      <c r="D145" s="9">
        <v>4.3517416608695743E-2</v>
      </c>
      <c r="E145" s="9">
        <v>1.2693795143542476E-2</v>
      </c>
      <c r="F145" s="9">
        <v>3.4677466569845182E-2</v>
      </c>
      <c r="G145" s="9">
        <v>1.2693795143542476E-2</v>
      </c>
      <c r="H145" s="9">
        <v>8.3910972249958272E-4</v>
      </c>
      <c r="I145" s="9">
        <v>3.4677466569845182E-2</v>
      </c>
    </row>
    <row r="146" spans="1:9">
      <c r="A146" s="8">
        <v>66</v>
      </c>
      <c r="B146" s="9">
        <v>2.8835062577252078E-2</v>
      </c>
      <c r="C146" s="9">
        <v>3.7721914070347334E-2</v>
      </c>
      <c r="D146" s="9">
        <v>3.7721914070347334E-2</v>
      </c>
      <c r="E146" s="9">
        <v>6.7198398260223417E-3</v>
      </c>
      <c r="F146" s="9">
        <v>3.7721914070347334E-2</v>
      </c>
      <c r="G146" s="9">
        <v>6.7198398260223417E-3</v>
      </c>
      <c r="I146" s="9">
        <v>2.8835062577252078E-2</v>
      </c>
    </row>
    <row r="147" spans="1:9">
      <c r="A147" s="8">
        <v>67</v>
      </c>
      <c r="B147" s="9">
        <v>2.2593793281247766E-2</v>
      </c>
      <c r="C147" s="9">
        <v>3.1528535750689472E-2</v>
      </c>
      <c r="D147" s="9">
        <v>3.1528535750689472E-2</v>
      </c>
      <c r="E147" s="9">
        <v>3.4453558848501417E-4</v>
      </c>
      <c r="F147" s="9">
        <v>3.1528535750689472E-2</v>
      </c>
      <c r="G147" s="9">
        <v>3.4453558848501417E-4</v>
      </c>
      <c r="I147" s="9">
        <v>2.2593793281247766E-2</v>
      </c>
    </row>
    <row r="148" spans="1:9">
      <c r="A148" s="8">
        <v>68</v>
      </c>
      <c r="B148" s="9">
        <v>1.5886854947346249E-2</v>
      </c>
      <c r="C148" s="9">
        <v>2.4868709459045821E-2</v>
      </c>
      <c r="D148" s="9">
        <v>2.4868709459045821E-2</v>
      </c>
      <c r="F148" s="9">
        <v>2.4868709459045821E-2</v>
      </c>
      <c r="I148" s="9">
        <v>1.5886854947346249E-2</v>
      </c>
    </row>
    <row r="149" spans="1:9">
      <c r="A149" s="8">
        <v>69</v>
      </c>
      <c r="B149" s="9">
        <v>8.6973017847603116E-3</v>
      </c>
      <c r="C149" s="9">
        <v>1.7726027607965305E-2</v>
      </c>
      <c r="D149" s="9">
        <v>1.7726027607965305E-2</v>
      </c>
      <c r="F149" s="9">
        <v>1.7726027607965305E-2</v>
      </c>
      <c r="I149" s="9">
        <v>8.6973017847603116E-3</v>
      </c>
    </row>
    <row r="150" spans="1:9">
      <c r="A150" s="8">
        <v>70</v>
      </c>
      <c r="B150" s="9">
        <v>1.0026316435544387E-2</v>
      </c>
      <c r="C150" s="9">
        <v>1.0026316435544387E-2</v>
      </c>
      <c r="D150" s="9">
        <v>3.1374852786449137E-2</v>
      </c>
      <c r="F150" s="9">
        <v>3.1374852786449137E-2</v>
      </c>
      <c r="I150" s="9">
        <v>9.5286671836922405E-4</v>
      </c>
    </row>
    <row r="153" spans="1:9">
      <c r="C153" s="8" t="s">
        <v>232</v>
      </c>
      <c r="E153" s="8" t="s">
        <v>231</v>
      </c>
    </row>
    <row r="154" spans="1:9">
      <c r="B154" s="8" t="s">
        <v>230</v>
      </c>
      <c r="C154" s="8" t="s">
        <v>229</v>
      </c>
      <c r="D154" s="8" t="s">
        <v>228</v>
      </c>
      <c r="E154" s="8" t="s">
        <v>229</v>
      </c>
      <c r="F154" s="8" t="s">
        <v>228</v>
      </c>
    </row>
    <row r="155" spans="1:9">
      <c r="B155" s="8">
        <v>0</v>
      </c>
      <c r="C155" s="8">
        <v>0</v>
      </c>
      <c r="E155" s="8">
        <v>12</v>
      </c>
      <c r="F155" s="9">
        <f>AVERAGEA(D80:D89)</f>
        <v>6.3660520331297182E-2</v>
      </c>
    </row>
    <row r="156" spans="1:9">
      <c r="B156" s="8">
        <v>10</v>
      </c>
      <c r="C156" s="8">
        <v>0</v>
      </c>
      <c r="E156" s="8">
        <v>18</v>
      </c>
      <c r="F156" s="9">
        <f>AVERAGEA(D90:D99)</f>
        <v>7.2166520787659921E-2</v>
      </c>
    </row>
    <row r="157" spans="1:9">
      <c r="B157" s="8">
        <v>20</v>
      </c>
      <c r="C157" s="8">
        <v>11.520395550061805</v>
      </c>
      <c r="D157" s="9">
        <f>AVERAGEA(C100:C109)</f>
        <v>6.2581385525580804E-2</v>
      </c>
      <c r="E157" s="8">
        <v>70</v>
      </c>
      <c r="F157" s="9">
        <f>AVERAGEA(D100:D109)</f>
        <v>7.7461604892417296E-2</v>
      </c>
    </row>
    <row r="158" spans="1:9">
      <c r="B158" s="8">
        <f>B157+10</f>
        <v>30</v>
      </c>
      <c r="C158" s="8">
        <v>40.321384425216316</v>
      </c>
      <c r="D158" s="9">
        <f>AVERAGEA(C110:C119)</f>
        <v>6.5442536690054315E-2</v>
      </c>
      <c r="E158" s="8">
        <v>160</v>
      </c>
      <c r="F158" s="9">
        <f>AVERAGEA(D110:D119)</f>
        <v>8.3688271588599178E-2</v>
      </c>
    </row>
    <row r="159" spans="1:9">
      <c r="B159" s="8">
        <f>B158+10</f>
        <v>40</v>
      </c>
      <c r="C159" s="8">
        <v>74.882571075401728</v>
      </c>
      <c r="D159" s="9">
        <f>AVERAGEA(C120:C129)</f>
        <v>6.4214096587807731E-2</v>
      </c>
      <c r="E159" s="8">
        <v>150</v>
      </c>
      <c r="F159" s="9">
        <f>AVERAGEA(D120:D129)</f>
        <v>8.6996266909020223E-2</v>
      </c>
    </row>
    <row r="160" spans="1:9">
      <c r="B160" s="8">
        <f>B159+10</f>
        <v>50</v>
      </c>
      <c r="C160" s="8">
        <v>172.80593325092707</v>
      </c>
      <c r="D160" s="9">
        <f>AVERAGEA(C130:C139)</f>
        <v>5.4600796645774288E-2</v>
      </c>
      <c r="E160" s="8">
        <v>40</v>
      </c>
      <c r="F160" s="9">
        <f>AVERAGEA(D130:D139)</f>
        <v>7.5233024180559591E-2</v>
      </c>
    </row>
    <row r="161" spans="2:6">
      <c r="B161" s="8">
        <f>B160+10</f>
        <v>60</v>
      </c>
      <c r="C161" s="8">
        <v>138.24474660074165</v>
      </c>
      <c r="D161" s="9">
        <f>AVERAGEA(C140:C149)</f>
        <v>3.6349498852343259E-2</v>
      </c>
      <c r="E161" s="8">
        <v>18</v>
      </c>
      <c r="F161" s="9">
        <f>AVERAGEA(D140:D149)</f>
        <v>4.4629438057018363E-2</v>
      </c>
    </row>
    <row r="162" spans="2:6">
      <c r="B162" s="8">
        <f>B161+10</f>
        <v>70</v>
      </c>
      <c r="C162" s="8">
        <v>40.321384425216316</v>
      </c>
      <c r="D162" s="9">
        <f>AVERAGEA(C150)</f>
        <v>1.0026316435544387E-2</v>
      </c>
      <c r="E162" s="8">
        <v>12</v>
      </c>
      <c r="F162" s="9">
        <f>AVERAGEA(D150)</f>
        <v>3.1374852786449137E-2</v>
      </c>
    </row>
    <row r="163" spans="2:6">
      <c r="B163" s="8" t="s">
        <v>227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7"/>
  <sheetViews>
    <sheetView workbookViewId="0"/>
  </sheetViews>
  <sheetFormatPr defaultRowHeight="12.75"/>
  <sheetData>
    <row r="1" spans="1:22">
      <c r="A1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I1" t="s">
        <v>34</v>
      </c>
      <c r="L1" t="s">
        <v>33</v>
      </c>
      <c r="M1" t="s">
        <v>32</v>
      </c>
      <c r="N1" t="s">
        <v>31</v>
      </c>
      <c r="Q1" t="s">
        <v>30</v>
      </c>
      <c r="R1" t="s">
        <v>27</v>
      </c>
      <c r="S1" t="s">
        <v>29</v>
      </c>
      <c r="U1" t="s">
        <v>28</v>
      </c>
      <c r="V1" t="s">
        <v>27</v>
      </c>
    </row>
    <row r="2" spans="1:22">
      <c r="B2" t="s">
        <v>26</v>
      </c>
      <c r="I2" t="s">
        <v>25</v>
      </c>
      <c r="K2" t="s">
        <v>24</v>
      </c>
      <c r="L2" t="s">
        <v>23</v>
      </c>
      <c r="N2" t="s">
        <v>22</v>
      </c>
      <c r="O2" t="s">
        <v>21</v>
      </c>
      <c r="P2" t="s">
        <v>20</v>
      </c>
      <c r="V2" t="s">
        <v>19</v>
      </c>
    </row>
    <row r="3" spans="1:22">
      <c r="J3" t="s">
        <v>18</v>
      </c>
    </row>
    <row r="4" spans="1:22">
      <c r="A4">
        <v>1688</v>
      </c>
      <c r="K4">
        <v>58.7151233426655</v>
      </c>
      <c r="L4">
        <v>4897</v>
      </c>
      <c r="M4" s="4">
        <v>5123.50232276308</v>
      </c>
      <c r="N4">
        <v>99</v>
      </c>
      <c r="P4">
        <v>99.6</v>
      </c>
      <c r="R4" s="2">
        <v>5.62292575521532</v>
      </c>
      <c r="S4">
        <f t="shared" ref="S4:S19" si="0">R4*K4/3/240</f>
        <v>0.45854274897794173</v>
      </c>
    </row>
    <row r="5" spans="1:22">
      <c r="A5">
        <v>1689</v>
      </c>
      <c r="B5">
        <v>2.871</v>
      </c>
      <c r="K5">
        <v>58.138022115967203</v>
      </c>
      <c r="L5">
        <v>4917</v>
      </c>
      <c r="M5" s="4">
        <v>5144.4273884063796</v>
      </c>
      <c r="N5">
        <v>98</v>
      </c>
      <c r="P5">
        <v>100.5</v>
      </c>
      <c r="Q5">
        <f t="shared" ref="Q5:Q36" si="1">B5/M5*1000</f>
        <v>0.55807960405275869</v>
      </c>
      <c r="R5" s="2">
        <v>6.5338996185754397</v>
      </c>
      <c r="S5">
        <f t="shared" si="0"/>
        <v>0.52759444517812304</v>
      </c>
      <c r="U5">
        <v>0.56278387225443605</v>
      </c>
    </row>
    <row r="6" spans="1:22">
      <c r="A6">
        <v>1690</v>
      </c>
      <c r="B6">
        <v>2.871</v>
      </c>
      <c r="K6">
        <v>51.682521969591299</v>
      </c>
      <c r="L6">
        <v>4916</v>
      </c>
      <c r="M6" s="4">
        <v>5143.3811351242202</v>
      </c>
      <c r="N6">
        <v>100</v>
      </c>
      <c r="P6">
        <v>102.71428571428601</v>
      </c>
      <c r="Q6">
        <f t="shared" si="1"/>
        <v>0.55819312716180047</v>
      </c>
      <c r="R6" s="2">
        <v>6.7410824129162297</v>
      </c>
      <c r="S6">
        <f t="shared" si="0"/>
        <v>0.48388352764495635</v>
      </c>
      <c r="U6">
        <v>0.55076354775870395</v>
      </c>
    </row>
    <row r="7" spans="1:22">
      <c r="A7">
        <v>1691</v>
      </c>
      <c r="B7">
        <v>2.871</v>
      </c>
      <c r="E7">
        <v>3.1</v>
      </c>
      <c r="I7">
        <v>52.64</v>
      </c>
      <c r="K7">
        <v>51.682521969591299</v>
      </c>
      <c r="L7">
        <v>4931</v>
      </c>
      <c r="M7" s="4">
        <v>5159.0749343567004</v>
      </c>
      <c r="N7">
        <v>101</v>
      </c>
      <c r="P7">
        <v>104.375</v>
      </c>
      <c r="Q7">
        <f t="shared" si="1"/>
        <v>0.55649511521545536</v>
      </c>
      <c r="R7" s="2">
        <v>7.2998264219048998</v>
      </c>
      <c r="S7">
        <f t="shared" si="0"/>
        <v>0.52399088808930971</v>
      </c>
      <c r="U7">
        <v>0.54035157584232496</v>
      </c>
    </row>
    <row r="8" spans="1:22">
      <c r="A8">
        <v>1692</v>
      </c>
      <c r="B8">
        <v>4.1109999999999998</v>
      </c>
      <c r="C8">
        <v>0.19900000000000001</v>
      </c>
      <c r="D8" s="3">
        <f t="shared" ref="D8:D39" si="2">C8/B8</f>
        <v>4.8406713694964736E-2</v>
      </c>
      <c r="E8">
        <v>3.3</v>
      </c>
      <c r="I8">
        <v>52.37</v>
      </c>
      <c r="K8">
        <v>52.333435344523203</v>
      </c>
      <c r="L8">
        <v>4935</v>
      </c>
      <c r="M8" s="4">
        <v>5163.2599474853596</v>
      </c>
      <c r="N8">
        <v>100</v>
      </c>
      <c r="P8">
        <v>105.777777777778</v>
      </c>
      <c r="Q8">
        <f t="shared" si="1"/>
        <v>0.79620240735742209</v>
      </c>
      <c r="R8" s="2">
        <v>7.1291322524779801</v>
      </c>
      <c r="S8">
        <f t="shared" si="0"/>
        <v>0.51818330805223811</v>
      </c>
      <c r="U8">
        <v>0.76285254896931798</v>
      </c>
    </row>
    <row r="9" spans="1:22">
      <c r="A9">
        <v>1693</v>
      </c>
      <c r="B9">
        <v>3.7829999999999999</v>
      </c>
      <c r="C9">
        <v>0.222</v>
      </c>
      <c r="D9" s="3">
        <f t="shared" si="2"/>
        <v>5.8683584456780333E-2</v>
      </c>
      <c r="E9">
        <v>5.9</v>
      </c>
      <c r="I9">
        <v>53.27</v>
      </c>
      <c r="K9">
        <v>52.690044203216303</v>
      </c>
      <c r="L9">
        <v>4963</v>
      </c>
      <c r="M9" s="4">
        <v>5192.5550393859803</v>
      </c>
      <c r="N9">
        <v>105</v>
      </c>
      <c r="P9">
        <v>107.4</v>
      </c>
      <c r="Q9">
        <f t="shared" si="1"/>
        <v>0.72854307201476287</v>
      </c>
      <c r="R9" s="2">
        <v>6.99588190757001</v>
      </c>
      <c r="S9">
        <f t="shared" si="0"/>
        <v>0.51196295409770143</v>
      </c>
      <c r="U9">
        <v>0.687483858229468</v>
      </c>
    </row>
    <row r="10" spans="1:22">
      <c r="A10">
        <v>1694</v>
      </c>
      <c r="B10">
        <v>4.0039999999999996</v>
      </c>
      <c r="C10">
        <v>0.442</v>
      </c>
      <c r="D10" s="3">
        <f t="shared" si="2"/>
        <v>0.1103896103896104</v>
      </c>
      <c r="E10">
        <v>6.1</v>
      </c>
      <c r="I10">
        <v>56.7</v>
      </c>
      <c r="K10">
        <v>48.143451143451102</v>
      </c>
      <c r="L10">
        <v>4950</v>
      </c>
      <c r="M10" s="4">
        <v>5178.9537467178397</v>
      </c>
      <c r="N10">
        <v>116</v>
      </c>
      <c r="P10">
        <v>110.3</v>
      </c>
      <c r="Q10">
        <f t="shared" si="1"/>
        <v>0.77312912912912835</v>
      </c>
      <c r="R10" s="2">
        <v>6.97138103769983</v>
      </c>
      <c r="S10">
        <f t="shared" si="0"/>
        <v>0.46614769776511555</v>
      </c>
      <c r="U10">
        <v>0.71037566942286801</v>
      </c>
    </row>
    <row r="11" spans="1:22">
      <c r="A11">
        <v>1695</v>
      </c>
      <c r="B11">
        <v>4.1340000000000003</v>
      </c>
      <c r="C11">
        <v>0.58099999999999996</v>
      </c>
      <c r="D11" s="3">
        <f t="shared" si="2"/>
        <v>0.14054184808901787</v>
      </c>
      <c r="E11">
        <v>8.4</v>
      </c>
      <c r="I11">
        <v>60.39</v>
      </c>
      <c r="K11">
        <v>48.143451143451102</v>
      </c>
      <c r="L11">
        <v>4951</v>
      </c>
      <c r="M11" s="4">
        <v>5180</v>
      </c>
      <c r="N11">
        <v>116</v>
      </c>
      <c r="P11">
        <v>113.7</v>
      </c>
      <c r="Q11">
        <f t="shared" si="1"/>
        <v>0.79806949806949823</v>
      </c>
      <c r="R11" s="2">
        <v>7.4858993049735298</v>
      </c>
      <c r="S11">
        <f t="shared" si="0"/>
        <v>0.50055142701914956</v>
      </c>
      <c r="U11">
        <v>0.71136386746375901</v>
      </c>
    </row>
    <row r="12" spans="1:22">
      <c r="A12">
        <v>1696</v>
      </c>
      <c r="B12">
        <v>4.8230000000000004</v>
      </c>
      <c r="C12">
        <v>0.65100000000000002</v>
      </c>
      <c r="D12" s="3">
        <f t="shared" si="2"/>
        <v>0.13497822931785194</v>
      </c>
      <c r="E12">
        <v>10.6</v>
      </c>
      <c r="I12">
        <v>56.76</v>
      </c>
      <c r="K12">
        <v>48.143451143451102</v>
      </c>
      <c r="L12">
        <v>4962</v>
      </c>
      <c r="M12" s="4">
        <v>5191.1901015080202</v>
      </c>
      <c r="N12">
        <v>117</v>
      </c>
      <c r="P12">
        <v>115.2</v>
      </c>
      <c r="Q12">
        <f t="shared" si="1"/>
        <v>0.92907404770226742</v>
      </c>
      <c r="R12" s="2">
        <v>7.4947826613007296</v>
      </c>
      <c r="S12">
        <f t="shared" si="0"/>
        <v>0.50114542067377232</v>
      </c>
      <c r="U12">
        <v>0.81735251648986895</v>
      </c>
    </row>
    <row r="13" spans="1:22">
      <c r="A13">
        <v>1697</v>
      </c>
      <c r="B13">
        <v>3.298</v>
      </c>
      <c r="C13">
        <v>1.044</v>
      </c>
      <c r="D13" s="3">
        <f t="shared" si="2"/>
        <v>0.31655548817465129</v>
      </c>
      <c r="E13">
        <v>16.7</v>
      </c>
      <c r="I13">
        <v>48.38</v>
      </c>
      <c r="K13">
        <v>48.143451143451102</v>
      </c>
      <c r="L13">
        <v>4978</v>
      </c>
      <c r="M13" s="4">
        <v>5207.6094142259299</v>
      </c>
      <c r="N13">
        <f>100/100*122</f>
        <v>122</v>
      </c>
      <c r="P13">
        <v>115.1</v>
      </c>
      <c r="Q13">
        <f t="shared" si="1"/>
        <v>0.63330402448975165</v>
      </c>
      <c r="R13" s="2">
        <v>7.5473663995601097</v>
      </c>
      <c r="S13">
        <f t="shared" si="0"/>
        <v>0.50466147988742582</v>
      </c>
      <c r="U13">
        <v>0.55763301501539297</v>
      </c>
    </row>
    <row r="14" spans="1:22">
      <c r="A14">
        <v>1698</v>
      </c>
      <c r="B14">
        <v>4.5780000000000003</v>
      </c>
      <c r="C14">
        <v>1.4670000000000001</v>
      </c>
      <c r="D14" s="3">
        <f t="shared" si="2"/>
        <v>0.32044560943643513</v>
      </c>
      <c r="E14">
        <v>17.3</v>
      </c>
      <c r="I14">
        <v>45.71</v>
      </c>
      <c r="K14">
        <v>48.143451143451102</v>
      </c>
      <c r="L14">
        <v>4998</v>
      </c>
      <c r="M14" s="4">
        <v>5228.2109141712099</v>
      </c>
      <c r="N14">
        <v>128</v>
      </c>
      <c r="P14">
        <v>115</v>
      </c>
      <c r="Q14">
        <f t="shared" si="1"/>
        <v>0.8756341462030931</v>
      </c>
      <c r="R14" s="2">
        <v>6.01275142740971</v>
      </c>
      <c r="S14">
        <f t="shared" si="0"/>
        <v>0.40204806192113224</v>
      </c>
      <c r="U14">
        <v>0.77167850445525499</v>
      </c>
    </row>
    <row r="15" spans="1:22">
      <c r="A15">
        <v>1699</v>
      </c>
      <c r="B15">
        <v>5.1639999999999997</v>
      </c>
      <c r="C15">
        <v>1.484</v>
      </c>
      <c r="D15" s="3">
        <f t="shared" si="2"/>
        <v>0.28737412858249423</v>
      </c>
      <c r="E15">
        <v>15.4</v>
      </c>
      <c r="I15">
        <v>46.46</v>
      </c>
      <c r="K15">
        <v>48.143451143451102</v>
      </c>
      <c r="L15">
        <v>5015</v>
      </c>
      <c r="M15" s="4">
        <v>5245.6718559691699</v>
      </c>
      <c r="N15">
        <v>132</v>
      </c>
      <c r="P15">
        <v>113.9</v>
      </c>
      <c r="Q15">
        <f t="shared" si="1"/>
        <v>0.98443062047881758</v>
      </c>
      <c r="R15" s="2">
        <v>6.3158484681199401</v>
      </c>
      <c r="S15">
        <f t="shared" si="0"/>
        <v>0.42231491965885115</v>
      </c>
      <c r="U15">
        <v>0.87593714630907105</v>
      </c>
    </row>
    <row r="16" spans="1:22">
      <c r="A16">
        <v>1700</v>
      </c>
      <c r="B16">
        <v>4.3440000000000003</v>
      </c>
      <c r="C16">
        <v>1.2509999999999999</v>
      </c>
      <c r="D16" s="3">
        <f t="shared" si="2"/>
        <v>0.28798342541436461</v>
      </c>
      <c r="E16">
        <v>14.2</v>
      </c>
      <c r="I16">
        <v>46.09</v>
      </c>
      <c r="K16">
        <v>50.3669668649108</v>
      </c>
      <c r="L16">
        <v>5027</v>
      </c>
      <c r="M16" s="4">
        <v>5257.90095333104</v>
      </c>
      <c r="N16">
        <v>115</v>
      </c>
      <c r="P16">
        <v>112.1</v>
      </c>
      <c r="Q16">
        <f t="shared" si="1"/>
        <v>0.82618520937484463</v>
      </c>
      <c r="R16" s="2">
        <v>5.8595321386719501</v>
      </c>
      <c r="S16">
        <f t="shared" si="0"/>
        <v>0.40989841815606953</v>
      </c>
      <c r="U16">
        <v>0.74693594142036901</v>
      </c>
    </row>
    <row r="17" spans="1:21">
      <c r="A17">
        <v>1701</v>
      </c>
      <c r="B17">
        <v>3.7690000000000001</v>
      </c>
      <c r="C17">
        <v>1.2</v>
      </c>
      <c r="D17" s="3">
        <f t="shared" si="2"/>
        <v>0.31838684001061285</v>
      </c>
      <c r="E17">
        <v>14.1</v>
      </c>
      <c r="I17">
        <v>44.45</v>
      </c>
      <c r="K17">
        <v>50.397225181927404</v>
      </c>
      <c r="L17">
        <v>5058</v>
      </c>
      <c r="M17" s="4">
        <v>5290</v>
      </c>
      <c r="N17">
        <v>100</v>
      </c>
      <c r="P17">
        <v>109.4</v>
      </c>
      <c r="Q17">
        <f t="shared" si="1"/>
        <v>0.71247637051039692</v>
      </c>
      <c r="R17" s="2">
        <v>5.9089809170634799</v>
      </c>
      <c r="S17">
        <f t="shared" si="0"/>
        <v>0.41360589149022237</v>
      </c>
      <c r="U17">
        <v>0.660031553145765</v>
      </c>
    </row>
    <row r="18" spans="1:21">
      <c r="A18">
        <v>1702</v>
      </c>
      <c r="B18">
        <v>4.8689999999999998</v>
      </c>
      <c r="C18">
        <v>1.1739999999999999</v>
      </c>
      <c r="D18" s="3">
        <f t="shared" si="2"/>
        <v>0.24111727254056275</v>
      </c>
      <c r="E18">
        <v>14.1</v>
      </c>
      <c r="I18">
        <v>44.04</v>
      </c>
      <c r="K18">
        <v>45.965428831362203</v>
      </c>
      <c r="L18">
        <v>5092</v>
      </c>
      <c r="M18" s="4">
        <v>5329.4647441873103</v>
      </c>
      <c r="N18">
        <v>99</v>
      </c>
      <c r="P18">
        <v>107.8</v>
      </c>
      <c r="Q18">
        <f t="shared" si="1"/>
        <v>0.91360018945813914</v>
      </c>
      <c r="R18" s="2">
        <v>5.5722724194524504</v>
      </c>
      <c r="S18">
        <f t="shared" si="0"/>
        <v>0.35573873795181121</v>
      </c>
      <c r="U18">
        <v>0.85891260126797198</v>
      </c>
    </row>
    <row r="19" spans="1:21">
      <c r="A19">
        <v>1703</v>
      </c>
      <c r="B19">
        <v>5.5609999999999999</v>
      </c>
      <c r="C19">
        <v>1.042</v>
      </c>
      <c r="D19" s="3">
        <f t="shared" si="2"/>
        <v>0.18737637115626687</v>
      </c>
      <c r="E19">
        <v>13.6</v>
      </c>
      <c r="K19">
        <v>48.467787298057402</v>
      </c>
      <c r="L19">
        <v>5134</v>
      </c>
      <c r="M19" s="4">
        <v>5377.3608543949504</v>
      </c>
      <c r="N19">
        <v>94</v>
      </c>
      <c r="P19">
        <v>104.4</v>
      </c>
      <c r="Q19">
        <f t="shared" si="1"/>
        <v>1.0341504225915878</v>
      </c>
      <c r="R19" s="2">
        <v>5.0235768592033896</v>
      </c>
      <c r="S19">
        <f t="shared" si="0"/>
        <v>0.33816896484349052</v>
      </c>
      <c r="U19">
        <v>1.00390997480112</v>
      </c>
    </row>
    <row r="20" spans="1:21">
      <c r="A20">
        <v>1704</v>
      </c>
      <c r="B20">
        <v>5.3940000000000001</v>
      </c>
      <c r="C20">
        <v>0.97699999999999998</v>
      </c>
      <c r="D20" s="3">
        <f t="shared" si="2"/>
        <v>0.1811271783463107</v>
      </c>
      <c r="E20">
        <v>13.4</v>
      </c>
      <c r="K20">
        <v>45.7158838529242</v>
      </c>
      <c r="L20">
        <v>5157</v>
      </c>
      <c r="M20" s="4">
        <v>5405.4061811476404</v>
      </c>
      <c r="N20">
        <v>98</v>
      </c>
      <c r="P20">
        <v>100.8</v>
      </c>
      <c r="Q20">
        <f t="shared" si="1"/>
        <v>0.99788985679051811</v>
      </c>
      <c r="U20">
        <v>1.00330651041476</v>
      </c>
    </row>
    <row r="21" spans="1:21">
      <c r="A21">
        <v>1705</v>
      </c>
      <c r="B21">
        <v>5.2919999999999998</v>
      </c>
      <c r="C21">
        <v>1.036</v>
      </c>
      <c r="D21" s="3">
        <f t="shared" si="2"/>
        <v>0.19576719576719578</v>
      </c>
      <c r="E21">
        <v>13</v>
      </c>
      <c r="I21">
        <v>44.14</v>
      </c>
      <c r="K21">
        <v>44.159389773946202</v>
      </c>
      <c r="L21">
        <v>5167</v>
      </c>
      <c r="M21" s="4">
        <v>5419.8506231727297</v>
      </c>
      <c r="N21">
        <v>89</v>
      </c>
      <c r="P21">
        <v>98.3</v>
      </c>
      <c r="Q21">
        <f t="shared" si="1"/>
        <v>0.97641067400896608</v>
      </c>
      <c r="R21" s="2">
        <v>3.6954452596813101</v>
      </c>
      <c r="S21">
        <f t="shared" ref="S21:S31" si="3">R21*K21/3/240</f>
        <v>0.22665084390354004</v>
      </c>
      <c r="U21">
        <v>1.00667794731038</v>
      </c>
    </row>
    <row r="22" spans="1:21">
      <c r="A22">
        <v>1706</v>
      </c>
      <c r="B22">
        <v>5.2839999999999998</v>
      </c>
      <c r="C22">
        <v>1.0780000000000001</v>
      </c>
      <c r="D22" s="3">
        <f t="shared" si="2"/>
        <v>0.20401211203633612</v>
      </c>
      <c r="E22">
        <v>13</v>
      </c>
      <c r="I22">
        <v>41.75</v>
      </c>
      <c r="K22">
        <v>47.652233559118599</v>
      </c>
      <c r="L22">
        <v>5182</v>
      </c>
      <c r="M22" s="4">
        <v>5439.5589169458399</v>
      </c>
      <c r="N22">
        <v>101</v>
      </c>
      <c r="P22">
        <v>99</v>
      </c>
      <c r="Q22">
        <f t="shared" si="1"/>
        <v>0.97140229211209983</v>
      </c>
      <c r="R22" s="2">
        <v>6.6426632395136798</v>
      </c>
      <c r="S22">
        <f t="shared" si="3"/>
        <v>0.43963575019982948</v>
      </c>
      <c r="U22">
        <v>0.99443289871654905</v>
      </c>
    </row>
    <row r="23" spans="1:21">
      <c r="A23">
        <v>1707</v>
      </c>
      <c r="B23">
        <v>5.4710000000000001</v>
      </c>
      <c r="C23">
        <v>1.8460000000000001</v>
      </c>
      <c r="D23" s="3">
        <f t="shared" si="2"/>
        <v>0.33741546335222083</v>
      </c>
      <c r="E23">
        <v>14.5</v>
      </c>
      <c r="K23">
        <v>42.210361425194399</v>
      </c>
      <c r="L23">
        <v>5199</v>
      </c>
      <c r="M23" s="4">
        <v>5461.3911578651396</v>
      </c>
      <c r="N23">
        <v>88</v>
      </c>
      <c r="P23">
        <v>102.5</v>
      </c>
      <c r="Q23">
        <f t="shared" si="1"/>
        <v>1.0017594129146055</v>
      </c>
      <c r="R23" s="2">
        <v>6.8508708296741396</v>
      </c>
      <c r="S23">
        <f t="shared" si="3"/>
        <v>0.40163574138592611</v>
      </c>
      <c r="U23">
        <v>0.99049233899856404</v>
      </c>
    </row>
    <row r="24" spans="1:21">
      <c r="A24">
        <v>1708</v>
      </c>
      <c r="B24">
        <v>5.2080000000000002</v>
      </c>
      <c r="C24">
        <v>1.637</v>
      </c>
      <c r="D24" s="3">
        <f t="shared" si="2"/>
        <v>0.31432411674347155</v>
      </c>
      <c r="E24">
        <v>15.2</v>
      </c>
      <c r="I24">
        <v>47.28</v>
      </c>
      <c r="K24">
        <v>41.903286276128597</v>
      </c>
      <c r="L24">
        <v>5215</v>
      </c>
      <c r="M24" s="4">
        <v>5482.1982381052903</v>
      </c>
      <c r="N24">
        <v>92</v>
      </c>
      <c r="P24">
        <v>102.7</v>
      </c>
      <c r="Q24">
        <f t="shared" si="1"/>
        <v>0.94998388854321036</v>
      </c>
      <c r="R24" s="2">
        <v>5.6317533996628502</v>
      </c>
      <c r="S24">
        <f t="shared" si="3"/>
        <v>0.3277624651981012</v>
      </c>
      <c r="U24">
        <v>0.93746993908394105</v>
      </c>
    </row>
    <row r="25" spans="1:21">
      <c r="A25">
        <v>1709</v>
      </c>
      <c r="B25">
        <v>5.2060000000000004</v>
      </c>
      <c r="C25">
        <v>2.0139999999999998</v>
      </c>
      <c r="D25" s="3">
        <f t="shared" si="2"/>
        <v>0.38686131386861305</v>
      </c>
      <c r="E25">
        <v>19.100000000000001</v>
      </c>
      <c r="I25">
        <v>48.27</v>
      </c>
      <c r="K25">
        <v>42.202748879945297</v>
      </c>
      <c r="L25">
        <v>5225</v>
      </c>
      <c r="M25" s="4">
        <v>5496.7178397888601</v>
      </c>
      <c r="N25">
        <v>107</v>
      </c>
      <c r="P25">
        <v>103</v>
      </c>
      <c r="Q25">
        <f t="shared" si="1"/>
        <v>0.9471106488886053</v>
      </c>
      <c r="R25" s="2">
        <v>5.48950874902678</v>
      </c>
      <c r="S25">
        <f t="shared" si="3"/>
        <v>0.32176716556866647</v>
      </c>
      <c r="U25">
        <v>0.93191231149806997</v>
      </c>
    </row>
    <row r="26" spans="1:21">
      <c r="A26">
        <v>1710</v>
      </c>
      <c r="B26">
        <v>5.2480000000000002</v>
      </c>
      <c r="C26">
        <v>1.754</v>
      </c>
      <c r="D26" s="3">
        <f t="shared" si="2"/>
        <v>0.33422256097560976</v>
      </c>
      <c r="E26">
        <v>21.4</v>
      </c>
      <c r="I26">
        <v>47.81</v>
      </c>
      <c r="K26">
        <v>38.594999999999999</v>
      </c>
      <c r="L26">
        <v>5238</v>
      </c>
      <c r="M26" s="4">
        <v>5514.4110912270498</v>
      </c>
      <c r="N26">
        <v>122</v>
      </c>
      <c r="P26">
        <v>103.5</v>
      </c>
      <c r="Q26">
        <f t="shared" si="1"/>
        <v>0.95168820626179162</v>
      </c>
      <c r="R26" s="2">
        <v>4.5168142139354899</v>
      </c>
      <c r="S26">
        <f t="shared" si="3"/>
        <v>0.242120061926167</v>
      </c>
      <c r="U26">
        <v>0.93189266176757901</v>
      </c>
    </row>
    <row r="27" spans="1:21">
      <c r="A27">
        <v>1711</v>
      </c>
      <c r="B27">
        <v>5.1790000000000003</v>
      </c>
      <c r="C27">
        <v>1.8129999999999999</v>
      </c>
      <c r="D27" s="3">
        <f t="shared" si="2"/>
        <v>0.3500675806140181</v>
      </c>
      <c r="E27">
        <v>22.4</v>
      </c>
      <c r="K27">
        <v>38.594999999999999</v>
      </c>
      <c r="L27">
        <v>5230</v>
      </c>
      <c r="M27" s="4">
        <v>5510</v>
      </c>
      <c r="N27">
        <v>135</v>
      </c>
      <c r="P27">
        <v>105</v>
      </c>
      <c r="Q27">
        <f t="shared" si="1"/>
        <v>0.9399274047186934</v>
      </c>
      <c r="R27" s="2">
        <v>4.7799710637803896</v>
      </c>
      <c r="S27">
        <f t="shared" si="3"/>
        <v>0.25622636556472794</v>
      </c>
      <c r="U27">
        <v>0.907228254633621</v>
      </c>
    </row>
    <row r="28" spans="1:21">
      <c r="A28">
        <v>1712</v>
      </c>
      <c r="B28">
        <v>5.7480000000000002</v>
      </c>
      <c r="C28">
        <v>2.36</v>
      </c>
      <c r="D28" s="3">
        <f t="shared" si="2"/>
        <v>0.41057759220598466</v>
      </c>
      <c r="E28">
        <v>34.9</v>
      </c>
      <c r="K28">
        <v>38.594999999999999</v>
      </c>
      <c r="L28">
        <v>5218</v>
      </c>
      <c r="M28" s="4">
        <v>5499.6569375100498</v>
      </c>
      <c r="N28">
        <v>101</v>
      </c>
      <c r="P28">
        <v>104.8</v>
      </c>
      <c r="Q28">
        <f t="shared" si="1"/>
        <v>1.0451561007007806</v>
      </c>
      <c r="R28" s="2">
        <v>5.2552769698946697</v>
      </c>
      <c r="S28">
        <f t="shared" si="3"/>
        <v>0.28170474257372885</v>
      </c>
      <c r="U28">
        <v>1.01072133125255</v>
      </c>
    </row>
    <row r="29" spans="1:21">
      <c r="A29">
        <v>1713</v>
      </c>
      <c r="B29">
        <v>5.78</v>
      </c>
      <c r="C29">
        <v>2.8879999999999999</v>
      </c>
      <c r="D29" s="3">
        <f t="shared" si="2"/>
        <v>0.49965397923875426</v>
      </c>
      <c r="E29">
        <v>34.700000000000003</v>
      </c>
      <c r="I29">
        <v>37.119999999999997</v>
      </c>
      <c r="K29">
        <v>38.6755741127349</v>
      </c>
      <c r="L29">
        <v>5225</v>
      </c>
      <c r="M29" s="4">
        <v>5509.3372527295796</v>
      </c>
      <c r="N29">
        <v>97</v>
      </c>
      <c r="P29">
        <v>105.5</v>
      </c>
      <c r="Q29">
        <f t="shared" si="1"/>
        <v>1.0491280048496436</v>
      </c>
      <c r="R29" s="2">
        <v>5.35026605756505</v>
      </c>
      <c r="S29">
        <f t="shared" si="3"/>
        <v>0.2873952936558431</v>
      </c>
      <c r="U29">
        <v>1.00783067956174</v>
      </c>
    </row>
    <row r="30" spans="1:21">
      <c r="A30">
        <v>1714</v>
      </c>
      <c r="B30">
        <v>5.3609999999999998</v>
      </c>
      <c r="C30">
        <v>3.0209999999999999</v>
      </c>
      <c r="D30" s="3">
        <f t="shared" si="2"/>
        <v>0.56351426972579743</v>
      </c>
      <c r="E30">
        <v>36.200000000000003</v>
      </c>
      <c r="I30">
        <v>39.58</v>
      </c>
      <c r="K30">
        <v>42.587586206896503</v>
      </c>
      <c r="L30">
        <v>5242</v>
      </c>
      <c r="M30" s="4">
        <v>5529.5723300155496</v>
      </c>
      <c r="N30">
        <v>103</v>
      </c>
      <c r="P30">
        <v>105.6</v>
      </c>
      <c r="Q30">
        <f t="shared" si="1"/>
        <v>0.96951440003768319</v>
      </c>
      <c r="R30" s="2">
        <v>5.49109681967865</v>
      </c>
      <c r="S30">
        <f t="shared" si="3"/>
        <v>0.32479522108122183</v>
      </c>
      <c r="U30">
        <v>0.93046898187064098</v>
      </c>
    </row>
    <row r="31" spans="1:21">
      <c r="A31">
        <v>1715</v>
      </c>
      <c r="B31">
        <v>5.5469999999999997</v>
      </c>
      <c r="C31">
        <v>3.2759999999999998</v>
      </c>
      <c r="D31" s="3">
        <f t="shared" si="2"/>
        <v>0.59058950784207676</v>
      </c>
      <c r="E31">
        <v>37.4</v>
      </c>
      <c r="I31">
        <v>47.55</v>
      </c>
      <c r="K31">
        <v>49.145225739061203</v>
      </c>
      <c r="L31">
        <v>5246</v>
      </c>
      <c r="M31" s="4">
        <v>5536.1034906452696</v>
      </c>
      <c r="N31">
        <v>104</v>
      </c>
      <c r="P31">
        <v>104.6</v>
      </c>
      <c r="Q31">
        <f t="shared" si="1"/>
        <v>1.0019682633052547</v>
      </c>
      <c r="R31" s="2">
        <v>7.6673419161500602</v>
      </c>
      <c r="S31">
        <f t="shared" si="3"/>
        <v>0.52335173512189004</v>
      </c>
      <c r="U31">
        <v>0.97080909311569497</v>
      </c>
    </row>
    <row r="32" spans="1:21">
      <c r="A32">
        <v>1716</v>
      </c>
      <c r="B32">
        <v>5.5819999999999999</v>
      </c>
      <c r="C32">
        <v>3.0270000000000001</v>
      </c>
      <c r="D32" s="3">
        <f t="shared" si="2"/>
        <v>0.54227875313507712</v>
      </c>
      <c r="E32">
        <v>37.9</v>
      </c>
      <c r="I32">
        <v>45.36</v>
      </c>
      <c r="K32">
        <v>38.616118189635003</v>
      </c>
      <c r="L32">
        <v>5276</v>
      </c>
      <c r="M32" s="4">
        <v>5570.08743231894</v>
      </c>
      <c r="N32">
        <v>99</v>
      </c>
      <c r="P32">
        <v>102.6</v>
      </c>
      <c r="Q32">
        <f t="shared" si="1"/>
        <v>1.0021386679878561</v>
      </c>
      <c r="U32">
        <v>0.98990157085170605</v>
      </c>
    </row>
    <row r="33" spans="1:22">
      <c r="A33">
        <v>1717</v>
      </c>
      <c r="B33">
        <v>6.5140000000000002</v>
      </c>
      <c r="C33">
        <v>3.44</v>
      </c>
      <c r="D33" s="3">
        <f t="shared" si="2"/>
        <v>0.52809333742708009</v>
      </c>
      <c r="E33">
        <v>39.299999999999997</v>
      </c>
      <c r="I33">
        <v>47.34</v>
      </c>
      <c r="K33">
        <v>38.616118189635003</v>
      </c>
      <c r="L33">
        <v>5310</v>
      </c>
      <c r="M33" s="4">
        <v>5608.3225389110303</v>
      </c>
      <c r="N33">
        <v>95</v>
      </c>
      <c r="P33">
        <v>99.1</v>
      </c>
      <c r="Q33">
        <f t="shared" si="1"/>
        <v>1.1614881196302995</v>
      </c>
      <c r="U33">
        <v>1.18782557483773</v>
      </c>
    </row>
    <row r="34" spans="1:22">
      <c r="A34">
        <v>1718</v>
      </c>
      <c r="B34">
        <v>6.09</v>
      </c>
      <c r="C34">
        <v>2.839</v>
      </c>
      <c r="D34" s="3">
        <f t="shared" si="2"/>
        <v>0.46617405582922827</v>
      </c>
      <c r="E34">
        <v>39.700000000000003</v>
      </c>
      <c r="I34">
        <v>36.68</v>
      </c>
      <c r="K34">
        <v>28.950208036254999</v>
      </c>
      <c r="L34">
        <v>5344</v>
      </c>
      <c r="M34" s="4">
        <v>5646.5876106574196</v>
      </c>
      <c r="N34">
        <v>93</v>
      </c>
      <c r="P34">
        <v>98.2</v>
      </c>
      <c r="Q34">
        <f t="shared" si="1"/>
        <v>1.0785274965902734</v>
      </c>
      <c r="U34">
        <v>1.11309258135317</v>
      </c>
    </row>
    <row r="35" spans="1:22">
      <c r="A35">
        <v>1719</v>
      </c>
      <c r="B35">
        <v>6.0259999999999998</v>
      </c>
      <c r="C35">
        <v>2.706</v>
      </c>
      <c r="D35" s="3">
        <f t="shared" si="2"/>
        <v>0.44905409890474612</v>
      </c>
      <c r="E35">
        <v>41.6</v>
      </c>
      <c r="I35">
        <v>28.38</v>
      </c>
      <c r="K35">
        <v>26.019101123595501</v>
      </c>
      <c r="L35">
        <v>5378</v>
      </c>
      <c r="M35" s="4">
        <v>5684.88264755812</v>
      </c>
      <c r="N35">
        <v>97</v>
      </c>
      <c r="P35">
        <v>97.4</v>
      </c>
      <c r="Q35">
        <f t="shared" si="1"/>
        <v>1.0600042909572467</v>
      </c>
      <c r="U35">
        <v>1.10296116353982</v>
      </c>
    </row>
    <row r="36" spans="1:22">
      <c r="A36">
        <v>1720</v>
      </c>
      <c r="B36">
        <v>6.3230000000000004</v>
      </c>
      <c r="C36">
        <v>2.7690000000000001</v>
      </c>
      <c r="D36" s="3">
        <f t="shared" si="2"/>
        <v>0.43792503558437451</v>
      </c>
      <c r="E36">
        <v>54</v>
      </c>
      <c r="I36">
        <v>16.47</v>
      </c>
      <c r="K36">
        <v>19.326775367201201</v>
      </c>
      <c r="L36">
        <v>5358</v>
      </c>
      <c r="M36" s="4">
        <v>5666.1024735083402</v>
      </c>
      <c r="N36">
        <v>102</v>
      </c>
      <c r="P36">
        <v>96.5</v>
      </c>
      <c r="Q36">
        <f t="shared" si="1"/>
        <v>1.1159346357682307</v>
      </c>
      <c r="U36">
        <v>1.1719875498037</v>
      </c>
    </row>
    <row r="37" spans="1:22">
      <c r="A37">
        <v>1721</v>
      </c>
      <c r="B37">
        <v>5.9539999999999997</v>
      </c>
      <c r="C37">
        <v>3.3140000000000001</v>
      </c>
      <c r="D37" s="3">
        <f t="shared" si="2"/>
        <v>0.55660060463553918</v>
      </c>
      <c r="E37">
        <v>54.9</v>
      </c>
      <c r="I37">
        <v>24.31</v>
      </c>
      <c r="K37">
        <v>24.504761904761899</v>
      </c>
      <c r="L37">
        <v>5350</v>
      </c>
      <c r="M37" s="4">
        <v>5660</v>
      </c>
      <c r="N37">
        <v>100</v>
      </c>
      <c r="P37">
        <v>95.8</v>
      </c>
      <c r="Q37">
        <f t="shared" ref="Q37:Q68" si="4">B37/M37*1000</f>
        <v>1.0519434628975264</v>
      </c>
      <c r="U37">
        <v>1.1128546487686</v>
      </c>
    </row>
    <row r="38" spans="1:22">
      <c r="A38">
        <v>1722</v>
      </c>
      <c r="B38">
        <v>6.15</v>
      </c>
      <c r="C38">
        <v>3.012</v>
      </c>
      <c r="D38" s="3">
        <f t="shared" si="2"/>
        <v>0.4897560975609756</v>
      </c>
      <c r="E38">
        <v>52.7</v>
      </c>
      <c r="I38">
        <v>23.06</v>
      </c>
      <c r="K38">
        <v>24.504761904761899</v>
      </c>
      <c r="L38">
        <v>5353</v>
      </c>
      <c r="M38" s="4">
        <v>5665.4156353737299</v>
      </c>
      <c r="N38">
        <v>92</v>
      </c>
      <c r="P38">
        <v>96.1</v>
      </c>
      <c r="Q38">
        <f t="shared" si="4"/>
        <v>1.0855337711854047</v>
      </c>
      <c r="R38" s="2">
        <v>9.1429208722172692</v>
      </c>
      <c r="S38">
        <f>R38*K38/3/240</f>
        <v>0.31117374873300302</v>
      </c>
      <c r="U38">
        <v>1.14480496851233</v>
      </c>
    </row>
    <row r="39" spans="1:22">
      <c r="A39">
        <v>1723</v>
      </c>
      <c r="B39">
        <v>5.9930000000000003</v>
      </c>
      <c r="C39">
        <v>2.919</v>
      </c>
      <c r="D39" s="3">
        <f t="shared" si="2"/>
        <v>0.48706824628733519</v>
      </c>
      <c r="E39">
        <v>53.6</v>
      </c>
      <c r="I39">
        <v>22.54</v>
      </c>
      <c r="K39">
        <v>23.569465648855001</v>
      </c>
      <c r="L39">
        <v>5371</v>
      </c>
      <c r="M39" s="4">
        <v>5686.7155062053698</v>
      </c>
      <c r="N39">
        <v>89</v>
      </c>
      <c r="P39">
        <v>96.2</v>
      </c>
      <c r="Q39">
        <f t="shared" si="4"/>
        <v>1.0538596477106006</v>
      </c>
      <c r="U39">
        <v>1.11024610424065</v>
      </c>
    </row>
    <row r="40" spans="1:22">
      <c r="A40">
        <v>1724</v>
      </c>
      <c r="B40">
        <v>5.7729999999999997</v>
      </c>
      <c r="C40">
        <v>2.8639999999999999</v>
      </c>
      <c r="D40" s="3">
        <f t="shared" ref="D40:D71" si="5">C40/B40</f>
        <v>0.49610254633639356</v>
      </c>
      <c r="E40">
        <v>53.8</v>
      </c>
      <c r="I40">
        <v>30.38</v>
      </c>
      <c r="K40">
        <v>30.545094806265499</v>
      </c>
      <c r="L40">
        <v>5388</v>
      </c>
      <c r="M40" s="4">
        <v>5706.9712533095599</v>
      </c>
      <c r="N40">
        <v>94</v>
      </c>
      <c r="P40">
        <v>96.8</v>
      </c>
      <c r="Q40">
        <f t="shared" si="4"/>
        <v>1.0115698404214228</v>
      </c>
      <c r="U40">
        <v>1.05908805420871</v>
      </c>
    </row>
    <row r="41" spans="1:22">
      <c r="A41">
        <v>1725</v>
      </c>
      <c r="B41">
        <v>5.96</v>
      </c>
      <c r="C41">
        <v>2.7959999999999998</v>
      </c>
      <c r="D41" s="3">
        <f t="shared" si="5"/>
        <v>0.46912751677852349</v>
      </c>
      <c r="E41">
        <v>52.7</v>
      </c>
      <c r="I41">
        <v>38.020000000000003</v>
      </c>
      <c r="K41">
        <v>37.200000000000003</v>
      </c>
      <c r="L41">
        <v>5406</v>
      </c>
      <c r="M41" s="4">
        <v>5728.3008585061298</v>
      </c>
      <c r="N41">
        <v>97</v>
      </c>
      <c r="P41">
        <v>97.5</v>
      </c>
      <c r="Q41">
        <f t="shared" si="4"/>
        <v>1.0404481446099001</v>
      </c>
      <c r="R41" s="2">
        <v>9.0940557536315794</v>
      </c>
      <c r="S41">
        <f t="shared" ref="S41:S72" si="6">R41*K41/3/240</f>
        <v>0.46985954727096502</v>
      </c>
      <c r="U41">
        <v>1.08150212890048</v>
      </c>
    </row>
    <row r="42" spans="1:22">
      <c r="A42">
        <v>1726</v>
      </c>
      <c r="B42">
        <v>5.5179999999999998</v>
      </c>
      <c r="C42">
        <v>2.6669999999999998</v>
      </c>
      <c r="D42" s="3">
        <f t="shared" si="5"/>
        <v>0.48332729249728162</v>
      </c>
      <c r="E42">
        <v>52.9</v>
      </c>
      <c r="I42">
        <v>36.119999999999997</v>
      </c>
      <c r="K42">
        <v>33.313432835820898</v>
      </c>
      <c r="L42">
        <v>5450</v>
      </c>
      <c r="M42" s="4">
        <v>5777.20652554156</v>
      </c>
      <c r="N42">
        <v>102</v>
      </c>
      <c r="P42">
        <v>96.8</v>
      </c>
      <c r="Q42">
        <f t="shared" si="4"/>
        <v>0.95513289608124885</v>
      </c>
      <c r="R42" s="2">
        <v>8.8782798384999992</v>
      </c>
      <c r="S42">
        <f t="shared" si="6"/>
        <v>0.41078608207985068</v>
      </c>
      <c r="U42">
        <v>1</v>
      </c>
      <c r="V42">
        <v>1</v>
      </c>
    </row>
    <row r="43" spans="1:22">
      <c r="A43">
        <v>1727</v>
      </c>
      <c r="B43">
        <v>6.1029999999999998</v>
      </c>
      <c r="C43">
        <v>2.7829999999999999</v>
      </c>
      <c r="D43" s="3">
        <f t="shared" si="5"/>
        <v>0.45600524332295594</v>
      </c>
      <c r="E43">
        <v>53</v>
      </c>
      <c r="I43">
        <v>32.97</v>
      </c>
      <c r="J43">
        <f>AVERAGEA(I43:I45)</f>
        <v>32.836666666666666</v>
      </c>
      <c r="K43">
        <v>31</v>
      </c>
      <c r="L43">
        <v>5480</v>
      </c>
      <c r="M43" s="4">
        <v>5811.3026527992097</v>
      </c>
      <c r="N43">
        <v>96</v>
      </c>
      <c r="P43">
        <v>95.6</v>
      </c>
      <c r="Q43">
        <f t="shared" si="4"/>
        <v>1.050194829735857</v>
      </c>
      <c r="R43" s="2">
        <v>8.8146088275078007</v>
      </c>
      <c r="S43">
        <f t="shared" si="6"/>
        <v>0.37951788007325249</v>
      </c>
      <c r="U43">
        <v>1.1133290414121899</v>
      </c>
      <c r="V43">
        <v>0.992490755130504</v>
      </c>
    </row>
    <row r="44" spans="1:22">
      <c r="A44">
        <v>1728</v>
      </c>
      <c r="B44">
        <v>6.7409999999999997</v>
      </c>
      <c r="C44">
        <v>2.335</v>
      </c>
      <c r="D44" s="3">
        <f t="shared" si="5"/>
        <v>0.34638777629431838</v>
      </c>
      <c r="E44">
        <v>52.7</v>
      </c>
      <c r="I44">
        <v>32.86</v>
      </c>
      <c r="J44">
        <f>AVERAGEA(I43:I46)</f>
        <v>32.747499999999995</v>
      </c>
      <c r="K44">
        <v>31</v>
      </c>
      <c r="L44">
        <v>5425</v>
      </c>
      <c r="M44" s="4">
        <v>5755.2494916903597</v>
      </c>
      <c r="N44">
        <v>99</v>
      </c>
      <c r="P44">
        <v>95.3</v>
      </c>
      <c r="Q44">
        <f t="shared" si="4"/>
        <v>1.1712785014329792</v>
      </c>
      <c r="R44" s="2">
        <v>8.6194039956080903</v>
      </c>
      <c r="S44">
        <f t="shared" si="6"/>
        <v>0.37111322758868165</v>
      </c>
      <c r="U44">
        <v>1.2456006483884601</v>
      </c>
      <c r="V44">
        <v>0.96730355397349999</v>
      </c>
    </row>
    <row r="45" spans="1:22">
      <c r="A45">
        <v>1729</v>
      </c>
      <c r="B45">
        <v>6.2939999999999996</v>
      </c>
      <c r="C45">
        <v>2.2839999999999998</v>
      </c>
      <c r="D45" s="3">
        <f t="shared" si="5"/>
        <v>0.36288528757546867</v>
      </c>
      <c r="E45">
        <v>52.1</v>
      </c>
      <c r="I45">
        <v>32.68</v>
      </c>
      <c r="J45">
        <f t="shared" ref="J45:J89" si="7">AVERAGEA(I43:I47)</f>
        <v>32.531999999999996</v>
      </c>
      <c r="K45">
        <v>31</v>
      </c>
      <c r="L45">
        <v>5336</v>
      </c>
      <c r="M45" s="4">
        <v>5663.0662578643696</v>
      </c>
      <c r="N45">
        <v>104</v>
      </c>
      <c r="P45">
        <v>94.9</v>
      </c>
      <c r="Q45">
        <f t="shared" si="4"/>
        <v>1.1114120360607551</v>
      </c>
      <c r="R45" s="2">
        <v>8.5704871910521696</v>
      </c>
      <c r="S45">
        <f t="shared" si="6"/>
        <v>0.36900708739252397</v>
      </c>
      <c r="U45">
        <v>1.18691723867633</v>
      </c>
      <c r="V45">
        <v>0.949925424662863</v>
      </c>
    </row>
    <row r="46" spans="1:22">
      <c r="A46">
        <v>1730</v>
      </c>
      <c r="B46">
        <v>6.2649999999999997</v>
      </c>
      <c r="C46">
        <v>2.2799999999999998</v>
      </c>
      <c r="D46" s="3">
        <f t="shared" si="5"/>
        <v>0.36392657621707902</v>
      </c>
      <c r="E46">
        <v>51.4</v>
      </c>
      <c r="I46">
        <v>32.479999999999997</v>
      </c>
      <c r="J46">
        <f t="shared" si="7"/>
        <v>32.378</v>
      </c>
      <c r="K46">
        <v>31</v>
      </c>
      <c r="L46">
        <v>5269</v>
      </c>
      <c r="M46" s="4">
        <v>5594.1661662709703</v>
      </c>
      <c r="N46">
        <v>95</v>
      </c>
      <c r="P46">
        <v>94.3</v>
      </c>
      <c r="Q46">
        <f t="shared" si="4"/>
        <v>1.1199166799466385</v>
      </c>
      <c r="R46" s="2">
        <v>8.5438034861369907</v>
      </c>
      <c r="S46">
        <f t="shared" si="6"/>
        <v>0.36785820565312044</v>
      </c>
      <c r="U46">
        <v>1.2036094103677899</v>
      </c>
      <c r="V46">
        <v>0.93769558571044198</v>
      </c>
    </row>
    <row r="47" spans="1:22">
      <c r="A47">
        <v>1731</v>
      </c>
      <c r="B47">
        <v>6.08</v>
      </c>
      <c r="C47">
        <v>2.12</v>
      </c>
      <c r="D47" s="3">
        <f t="shared" si="5"/>
        <v>0.34868421052631582</v>
      </c>
      <c r="E47">
        <v>51.7</v>
      </c>
      <c r="I47">
        <v>31.67</v>
      </c>
      <c r="J47">
        <f t="shared" si="7"/>
        <v>32.14</v>
      </c>
      <c r="K47">
        <v>31</v>
      </c>
      <c r="L47">
        <v>5263</v>
      </c>
      <c r="M47" s="4">
        <v>5590</v>
      </c>
      <c r="N47">
        <v>88</v>
      </c>
      <c r="P47">
        <v>93.5</v>
      </c>
      <c r="Q47">
        <f t="shared" si="4"/>
        <v>1.0876565295169947</v>
      </c>
      <c r="R47" s="2">
        <v>8.9350510174033904</v>
      </c>
      <c r="S47">
        <f t="shared" si="6"/>
        <v>0.38470358547153488</v>
      </c>
      <c r="U47">
        <v>1.1789400319571599</v>
      </c>
      <c r="V47">
        <v>0.977136805603256</v>
      </c>
    </row>
    <row r="48" spans="1:22">
      <c r="A48">
        <v>1732</v>
      </c>
      <c r="B48">
        <v>5.8029999999999999</v>
      </c>
      <c r="C48">
        <v>2.2170000000000001</v>
      </c>
      <c r="D48" s="3">
        <f t="shared" si="5"/>
        <v>0.38204377046355337</v>
      </c>
      <c r="E48">
        <v>50.1</v>
      </c>
      <c r="I48">
        <v>32.200000000000003</v>
      </c>
      <c r="J48">
        <f t="shared" si="7"/>
        <v>31.870000000000005</v>
      </c>
      <c r="K48">
        <v>31</v>
      </c>
      <c r="L48">
        <v>5284</v>
      </c>
      <c r="M48" s="4">
        <v>5613.9681229317803</v>
      </c>
      <c r="N48">
        <v>89</v>
      </c>
      <c r="P48">
        <v>92</v>
      </c>
      <c r="Q48">
        <f t="shared" si="4"/>
        <v>1.0336717047423314</v>
      </c>
      <c r="R48" s="2">
        <v>8.5113011875797504</v>
      </c>
      <c r="S48">
        <f t="shared" si="6"/>
        <v>0.36645880113190593</v>
      </c>
      <c r="U48">
        <v>1.1386922247608799</v>
      </c>
      <c r="V48">
        <v>0.924564581425666</v>
      </c>
    </row>
    <row r="49" spans="1:22">
      <c r="A49">
        <v>1733</v>
      </c>
      <c r="B49">
        <v>5.5220000000000002</v>
      </c>
      <c r="C49">
        <v>2.1429999999999998</v>
      </c>
      <c r="D49" s="3">
        <f t="shared" si="5"/>
        <v>0.38808402752625853</v>
      </c>
      <c r="E49">
        <v>50</v>
      </c>
      <c r="I49">
        <v>31.67</v>
      </c>
      <c r="J49">
        <f t="shared" si="7"/>
        <v>31.616000000000003</v>
      </c>
      <c r="K49">
        <v>31</v>
      </c>
      <c r="L49">
        <v>5310</v>
      </c>
      <c r="M49" s="4">
        <v>5643.26327429708</v>
      </c>
      <c r="N49">
        <v>85</v>
      </c>
      <c r="P49">
        <v>91.7</v>
      </c>
      <c r="Q49">
        <f t="shared" si="4"/>
        <v>0.97851185237991867</v>
      </c>
      <c r="R49" s="2">
        <v>8.6406617321974402</v>
      </c>
      <c r="S49">
        <f t="shared" si="6"/>
        <v>0.37202849124738979</v>
      </c>
      <c r="U49">
        <v>1.08145464195192</v>
      </c>
      <c r="V49">
        <v>0.92567658964614197</v>
      </c>
    </row>
    <row r="50" spans="1:22">
      <c r="A50">
        <v>1734</v>
      </c>
      <c r="B50">
        <v>5.4480000000000004</v>
      </c>
      <c r="C50">
        <v>2.052</v>
      </c>
      <c r="D50" s="3">
        <f t="shared" si="5"/>
        <v>0.37665198237885461</v>
      </c>
      <c r="E50">
        <v>49.1</v>
      </c>
      <c r="I50">
        <v>31.33</v>
      </c>
      <c r="J50">
        <f t="shared" si="7"/>
        <v>31.553999999999995</v>
      </c>
      <c r="K50">
        <v>31</v>
      </c>
      <c r="L50">
        <v>5363</v>
      </c>
      <c r="M50" s="4">
        <v>5701.2778531454996</v>
      </c>
      <c r="N50">
        <v>88</v>
      </c>
      <c r="P50">
        <v>90.9</v>
      </c>
      <c r="Q50">
        <f t="shared" si="4"/>
        <v>0.95557524827425111</v>
      </c>
      <c r="R50" s="2">
        <v>10.3699839252373</v>
      </c>
      <c r="S50">
        <f t="shared" si="6"/>
        <v>0.44648541900327265</v>
      </c>
      <c r="U50">
        <v>1.06539968245872</v>
      </c>
      <c r="V50">
        <v>1.0964618220307301</v>
      </c>
    </row>
    <row r="51" spans="1:22">
      <c r="A51">
        <v>1735</v>
      </c>
      <c r="B51">
        <v>5.6520000000000001</v>
      </c>
      <c r="C51">
        <v>2.1739999999999999</v>
      </c>
      <c r="D51" s="3">
        <f t="shared" si="5"/>
        <v>0.38464260438782727</v>
      </c>
      <c r="E51">
        <v>49.3</v>
      </c>
      <c r="I51">
        <v>31.21</v>
      </c>
      <c r="J51">
        <f t="shared" si="7"/>
        <v>31.578000000000003</v>
      </c>
      <c r="K51">
        <v>31</v>
      </c>
      <c r="L51">
        <v>5409</v>
      </c>
      <c r="M51" s="4">
        <v>5751.8820626168299</v>
      </c>
      <c r="N51">
        <v>89</v>
      </c>
      <c r="P51">
        <v>89.4</v>
      </c>
      <c r="Q51">
        <f t="shared" si="4"/>
        <v>0.9826348903664085</v>
      </c>
      <c r="R51" s="2">
        <v>10.617112776786801</v>
      </c>
      <c r="S51">
        <f t="shared" si="6"/>
        <v>0.45712568900054273</v>
      </c>
      <c r="U51">
        <v>1.11395132919119</v>
      </c>
      <c r="V51">
        <v>1.1096199965426501</v>
      </c>
    </row>
    <row r="52" spans="1:22">
      <c r="A52">
        <v>1736</v>
      </c>
      <c r="B52">
        <v>5.7619999999999996</v>
      </c>
      <c r="C52">
        <v>2.1269999999999998</v>
      </c>
      <c r="D52" s="3">
        <f t="shared" si="5"/>
        <v>0.36914265879902808</v>
      </c>
      <c r="E52">
        <v>49.7</v>
      </c>
      <c r="I52">
        <v>31.36</v>
      </c>
      <c r="J52">
        <f t="shared" si="7"/>
        <v>31.639999999999997</v>
      </c>
      <c r="K52">
        <v>31</v>
      </c>
      <c r="L52">
        <v>5450</v>
      </c>
      <c r="M52" s="4">
        <v>5797.1967037418599</v>
      </c>
      <c r="N52">
        <v>87</v>
      </c>
      <c r="P52">
        <v>89.9</v>
      </c>
      <c r="Q52">
        <f t="shared" si="4"/>
        <v>0.99392866836498017</v>
      </c>
      <c r="R52" s="2">
        <v>10.027965281521601</v>
      </c>
      <c r="S52">
        <f t="shared" si="6"/>
        <v>0.43175961628773563</v>
      </c>
      <c r="U52">
        <v>1.1204876649540101</v>
      </c>
      <c r="V52">
        <v>1.0245627635151999</v>
      </c>
    </row>
    <row r="53" spans="1:22">
      <c r="A53">
        <v>1737</v>
      </c>
      <c r="B53">
        <v>6.077</v>
      </c>
      <c r="C53">
        <v>2.105</v>
      </c>
      <c r="D53" s="3">
        <f t="shared" si="5"/>
        <v>0.34638802040480499</v>
      </c>
      <c r="E53">
        <v>48.5</v>
      </c>
      <c r="I53">
        <v>32.32</v>
      </c>
      <c r="J53">
        <f t="shared" si="7"/>
        <v>31.618000000000002</v>
      </c>
      <c r="K53">
        <v>31</v>
      </c>
      <c r="L53">
        <v>5481</v>
      </c>
      <c r="M53" s="4">
        <v>5831.8969516216102</v>
      </c>
      <c r="N53">
        <v>93</v>
      </c>
      <c r="P53">
        <v>91.9</v>
      </c>
      <c r="Q53">
        <f t="shared" si="4"/>
        <v>1.0420280142827689</v>
      </c>
      <c r="R53" s="2">
        <v>8.6167423125295493</v>
      </c>
      <c r="S53">
        <f t="shared" si="6"/>
        <v>0.37099862734502226</v>
      </c>
      <c r="U53">
        <v>1.1491466035000999</v>
      </c>
      <c r="V53">
        <v>0.87230047537645305</v>
      </c>
    </row>
    <row r="54" spans="1:22">
      <c r="A54">
        <v>1738</v>
      </c>
      <c r="B54">
        <v>5.7160000000000002</v>
      </c>
      <c r="C54">
        <v>2.0590000000000002</v>
      </c>
      <c r="D54" s="3">
        <f t="shared" si="5"/>
        <v>0.36021693491952417</v>
      </c>
      <c r="E54">
        <v>47.5</v>
      </c>
      <c r="I54">
        <v>31.98</v>
      </c>
      <c r="J54">
        <f t="shared" si="7"/>
        <v>31.838000000000001</v>
      </c>
      <c r="K54">
        <v>31</v>
      </c>
      <c r="L54">
        <v>5504</v>
      </c>
      <c r="M54" s="4">
        <v>5858.1020333336</v>
      </c>
      <c r="N54">
        <v>91</v>
      </c>
      <c r="P54">
        <v>92.9</v>
      </c>
      <c r="Q54">
        <f t="shared" si="4"/>
        <v>0.97574264966280633</v>
      </c>
      <c r="R54" s="2">
        <v>8.9936724288929693</v>
      </c>
      <c r="S54">
        <f t="shared" si="6"/>
        <v>0.38722756291066951</v>
      </c>
      <c r="U54">
        <v>1.0644643687278801</v>
      </c>
      <c r="V54">
        <v>0.90979058441386595</v>
      </c>
    </row>
    <row r="55" spans="1:22">
      <c r="A55">
        <v>1739</v>
      </c>
      <c r="B55">
        <v>5.82</v>
      </c>
      <c r="C55">
        <v>2.0470000000000002</v>
      </c>
      <c r="D55" s="3">
        <f t="shared" si="5"/>
        <v>0.35171821305841927</v>
      </c>
      <c r="E55">
        <v>46.9</v>
      </c>
      <c r="I55">
        <v>31.22</v>
      </c>
      <c r="J55">
        <f t="shared" si="7"/>
        <v>32.073999999999998</v>
      </c>
      <c r="K55">
        <v>31</v>
      </c>
      <c r="L55">
        <v>5537</v>
      </c>
      <c r="M55" s="4">
        <v>5894.9680973069098</v>
      </c>
      <c r="N55">
        <v>89</v>
      </c>
      <c r="P55">
        <v>93.8</v>
      </c>
      <c r="Q55">
        <f t="shared" si="4"/>
        <v>0.98728269668818758</v>
      </c>
      <c r="R55" s="2">
        <v>9.0296042995786099</v>
      </c>
      <c r="S55">
        <f t="shared" si="6"/>
        <v>0.3887746295651901</v>
      </c>
      <c r="U55">
        <v>1.06671951779632</v>
      </c>
      <c r="V55">
        <v>0.91628144466162498</v>
      </c>
    </row>
    <row r="56" spans="1:22">
      <c r="A56">
        <v>1740</v>
      </c>
      <c r="B56">
        <v>5.7450000000000001</v>
      </c>
      <c r="C56">
        <v>2.1019999999999999</v>
      </c>
      <c r="D56" s="3">
        <f t="shared" si="5"/>
        <v>0.36588337684943428</v>
      </c>
      <c r="E56">
        <v>47.4</v>
      </c>
      <c r="I56">
        <v>32.31</v>
      </c>
      <c r="J56">
        <f t="shared" si="7"/>
        <v>31.914000000000005</v>
      </c>
      <c r="K56">
        <v>31</v>
      </c>
      <c r="L56">
        <v>5565</v>
      </c>
      <c r="M56" s="4">
        <v>5926.5301125640699</v>
      </c>
      <c r="N56">
        <v>100</v>
      </c>
      <c r="P56">
        <v>93.4</v>
      </c>
      <c r="Q56">
        <f t="shared" si="4"/>
        <v>0.96936991644078019</v>
      </c>
      <c r="R56" s="2">
        <v>9.0525342055950393</v>
      </c>
      <c r="S56">
        <f t="shared" si="6"/>
        <v>0.38976188940756418</v>
      </c>
      <c r="U56">
        <v>1.0518509794893101</v>
      </c>
      <c r="V56">
        <v>0.919115407628043</v>
      </c>
    </row>
    <row r="57" spans="1:22">
      <c r="A57">
        <v>1741</v>
      </c>
      <c r="B57">
        <v>6.2439999999999998</v>
      </c>
      <c r="C57">
        <v>2.032</v>
      </c>
      <c r="D57" s="3">
        <f t="shared" si="5"/>
        <v>0.32543241511851378</v>
      </c>
      <c r="E57">
        <v>48.8</v>
      </c>
      <c r="I57">
        <v>32.54</v>
      </c>
      <c r="J57">
        <f t="shared" si="7"/>
        <v>31.991999999999997</v>
      </c>
      <c r="K57">
        <v>31</v>
      </c>
      <c r="L57">
        <v>5576</v>
      </c>
      <c r="M57" s="4">
        <v>5940</v>
      </c>
      <c r="N57">
        <v>108</v>
      </c>
      <c r="P57">
        <v>93</v>
      </c>
      <c r="Q57">
        <f t="shared" si="4"/>
        <v>1.0511784511784512</v>
      </c>
      <c r="R57" s="2">
        <v>9.8814365794121297</v>
      </c>
      <c r="S57">
        <f t="shared" si="6"/>
        <v>0.42545074161357782</v>
      </c>
      <c r="U57">
        <v>1.14552627518382</v>
      </c>
      <c r="V57">
        <v>0.99503485353794496</v>
      </c>
    </row>
    <row r="58" spans="1:22">
      <c r="A58">
        <v>1742</v>
      </c>
      <c r="B58">
        <v>6.4160000000000004</v>
      </c>
      <c r="C58">
        <v>2.0409999999999999</v>
      </c>
      <c r="D58" s="3">
        <f t="shared" si="5"/>
        <v>0.31811097256857851</v>
      </c>
      <c r="E58">
        <v>51.3</v>
      </c>
      <c r="I58">
        <v>31.52</v>
      </c>
      <c r="J58">
        <f t="shared" si="7"/>
        <v>32.267999999999994</v>
      </c>
      <c r="K58">
        <v>31</v>
      </c>
      <c r="L58">
        <v>5516</v>
      </c>
      <c r="M58" s="4">
        <v>5880.9766248977103</v>
      </c>
      <c r="N58">
        <v>99</v>
      </c>
      <c r="P58">
        <v>93.6</v>
      </c>
      <c r="Q58">
        <f t="shared" si="4"/>
        <v>1.0909752595916153</v>
      </c>
      <c r="R58" s="2">
        <v>11.5861414813787</v>
      </c>
      <c r="S58">
        <f t="shared" si="6"/>
        <v>0.49884775822602734</v>
      </c>
      <c r="U58">
        <v>1.1812738977936501</v>
      </c>
      <c r="V58">
        <v>1.15135400522967</v>
      </c>
    </row>
    <row r="59" spans="1:22">
      <c r="A59">
        <v>1743</v>
      </c>
      <c r="B59">
        <v>6.5670000000000002</v>
      </c>
      <c r="C59">
        <v>2.117</v>
      </c>
      <c r="D59" s="3">
        <f t="shared" si="5"/>
        <v>0.32236942287193543</v>
      </c>
      <c r="E59">
        <v>53.5</v>
      </c>
      <c r="I59">
        <v>32.369999999999997</v>
      </c>
      <c r="J59">
        <f t="shared" si="7"/>
        <v>32.167999999999999</v>
      </c>
      <c r="K59">
        <v>31</v>
      </c>
      <c r="L59">
        <v>5512</v>
      </c>
      <c r="M59" s="4">
        <v>5881.6018198973698</v>
      </c>
      <c r="N59">
        <v>94</v>
      </c>
      <c r="P59">
        <v>93.3</v>
      </c>
      <c r="Q59">
        <f t="shared" si="4"/>
        <v>1.1165325707333569</v>
      </c>
      <c r="R59" s="2">
        <v>10.7109420223561</v>
      </c>
      <c r="S59">
        <f t="shared" si="6"/>
        <v>0.46116555929588759</v>
      </c>
      <c r="U59">
        <v>1.2128338431147501</v>
      </c>
      <c r="V59">
        <v>1.0487047960804201</v>
      </c>
    </row>
    <row r="60" spans="1:22">
      <c r="A60">
        <v>1744</v>
      </c>
      <c r="B60">
        <v>6.5759999999999996</v>
      </c>
      <c r="C60">
        <v>2.1779999999999999</v>
      </c>
      <c r="D60" s="3">
        <f t="shared" si="5"/>
        <v>0.33120437956204379</v>
      </c>
      <c r="E60">
        <v>57.1</v>
      </c>
      <c r="I60">
        <v>32.6</v>
      </c>
      <c r="J60">
        <f t="shared" si="7"/>
        <v>31.796000000000003</v>
      </c>
      <c r="K60">
        <v>31</v>
      </c>
      <c r="L60">
        <v>5548</v>
      </c>
      <c r="M60" s="4">
        <v>5924.9375643163303</v>
      </c>
      <c r="N60">
        <v>84</v>
      </c>
      <c r="P60">
        <v>93.6</v>
      </c>
      <c r="Q60">
        <f t="shared" si="4"/>
        <v>1.1098851133225054</v>
      </c>
      <c r="R60" s="2">
        <v>13.287367553368901</v>
      </c>
      <c r="S60">
        <f t="shared" si="6"/>
        <v>0.57209499188116097</v>
      </c>
      <c r="U60">
        <v>1.2017488961284</v>
      </c>
      <c r="V60">
        <v>1.28974658128442</v>
      </c>
    </row>
    <row r="61" spans="1:22">
      <c r="A61">
        <v>1745</v>
      </c>
      <c r="B61">
        <v>6.4509999999999996</v>
      </c>
      <c r="C61">
        <v>2.2589999999999999</v>
      </c>
      <c r="D61" s="3">
        <f t="shared" si="5"/>
        <v>0.35017826693535886</v>
      </c>
      <c r="E61">
        <v>60.1</v>
      </c>
      <c r="I61">
        <v>31.81</v>
      </c>
      <c r="J61">
        <f t="shared" si="7"/>
        <v>31.812000000000001</v>
      </c>
      <c r="K61">
        <v>31</v>
      </c>
      <c r="L61">
        <v>5603</v>
      </c>
      <c r="M61" s="4">
        <v>5988.6449196685899</v>
      </c>
      <c r="N61">
        <v>85</v>
      </c>
      <c r="P61">
        <v>94.3</v>
      </c>
      <c r="Q61">
        <f t="shared" si="4"/>
        <v>1.0772052921042106</v>
      </c>
      <c r="R61" s="2">
        <v>13.6787132164967</v>
      </c>
      <c r="S61">
        <f t="shared" si="6"/>
        <v>0.58894459682138567</v>
      </c>
      <c r="U61">
        <v>1.15770614876134</v>
      </c>
      <c r="V61">
        <v>1.31615507225851</v>
      </c>
    </row>
    <row r="62" spans="1:22">
      <c r="A62">
        <v>1746</v>
      </c>
      <c r="B62">
        <v>6.2489999999999997</v>
      </c>
      <c r="C62">
        <v>2.3159999999999998</v>
      </c>
      <c r="D62" s="3">
        <f t="shared" si="5"/>
        <v>0.37061929908785407</v>
      </c>
      <c r="E62">
        <v>64.900000000000006</v>
      </c>
      <c r="I62">
        <v>30.68</v>
      </c>
      <c r="J62">
        <f t="shared" si="7"/>
        <v>31.488</v>
      </c>
      <c r="K62">
        <v>31</v>
      </c>
      <c r="L62">
        <v>5635</v>
      </c>
      <c r="M62" s="4">
        <v>6027.8464046487697</v>
      </c>
      <c r="N62">
        <v>93</v>
      </c>
      <c r="P62">
        <v>93.8</v>
      </c>
      <c r="Q62">
        <f t="shared" si="4"/>
        <v>1.03668865802232</v>
      </c>
      <c r="R62" s="2">
        <v>12.816368535757601</v>
      </c>
      <c r="S62">
        <f t="shared" si="6"/>
        <v>0.55181586751178568</v>
      </c>
      <c r="U62">
        <v>1.1201006855483699</v>
      </c>
      <c r="V62">
        <v>1.23511956754525</v>
      </c>
    </row>
    <row r="63" spans="1:22">
      <c r="A63">
        <v>1747</v>
      </c>
      <c r="B63">
        <v>6.9610000000000003</v>
      </c>
      <c r="C63">
        <v>2.7160000000000002</v>
      </c>
      <c r="D63" s="3">
        <f t="shared" si="5"/>
        <v>0.39017382559977015</v>
      </c>
      <c r="E63">
        <v>69.400000000000006</v>
      </c>
      <c r="I63">
        <v>31.6</v>
      </c>
      <c r="J63">
        <f t="shared" si="7"/>
        <v>31.228000000000002</v>
      </c>
      <c r="K63">
        <v>31</v>
      </c>
      <c r="L63">
        <v>5658</v>
      </c>
      <c r="M63" s="4">
        <v>6057.4692429986499</v>
      </c>
      <c r="N63">
        <v>90</v>
      </c>
      <c r="P63">
        <v>92</v>
      </c>
      <c r="Q63">
        <f t="shared" si="4"/>
        <v>1.1491597762622847</v>
      </c>
      <c r="R63" s="2">
        <v>14.878017675796601</v>
      </c>
      <c r="S63">
        <f t="shared" si="6"/>
        <v>0.64058131659679807</v>
      </c>
      <c r="U63">
        <v>1.2659138256706</v>
      </c>
      <c r="V63">
        <v>1.4177054623059799</v>
      </c>
    </row>
    <row r="64" spans="1:22">
      <c r="A64">
        <v>1748</v>
      </c>
      <c r="B64">
        <v>7.1989999999999998</v>
      </c>
      <c r="C64">
        <v>2.8420000000000001</v>
      </c>
      <c r="D64" s="3">
        <f t="shared" si="5"/>
        <v>0.39477705236838451</v>
      </c>
      <c r="E64">
        <v>76.099999999999994</v>
      </c>
      <c r="I64">
        <v>30.75</v>
      </c>
      <c r="J64">
        <f t="shared" si="7"/>
        <v>31.169999999999998</v>
      </c>
      <c r="K64">
        <v>31</v>
      </c>
      <c r="L64">
        <v>5669</v>
      </c>
      <c r="M64" s="4">
        <v>6074.2750131491102</v>
      </c>
      <c r="N64">
        <v>94</v>
      </c>
      <c r="P64">
        <v>91.4</v>
      </c>
      <c r="Q64">
        <f t="shared" si="4"/>
        <v>1.1851620126543783</v>
      </c>
      <c r="R64" s="2">
        <v>14.7069829185195</v>
      </c>
      <c r="S64">
        <f t="shared" si="6"/>
        <v>0.63321732010292286</v>
      </c>
      <c r="U64">
        <v>1.3141443778000199</v>
      </c>
      <c r="V64">
        <v>1.3841950121647699</v>
      </c>
    </row>
    <row r="65" spans="1:22">
      <c r="A65">
        <v>1749</v>
      </c>
      <c r="B65">
        <v>7.4939999999999998</v>
      </c>
      <c r="C65">
        <v>2.9809999999999999</v>
      </c>
      <c r="D65" s="3">
        <f t="shared" si="5"/>
        <v>0.39778489458233252</v>
      </c>
      <c r="E65">
        <v>77.8</v>
      </c>
      <c r="I65">
        <v>31.3</v>
      </c>
      <c r="J65">
        <f t="shared" si="7"/>
        <v>31.257999999999999</v>
      </c>
      <c r="K65">
        <v>31</v>
      </c>
      <c r="L65">
        <v>5703</v>
      </c>
      <c r="M65" s="4">
        <v>6115.7649668761596</v>
      </c>
      <c r="N65">
        <v>96</v>
      </c>
      <c r="P65">
        <v>91</v>
      </c>
      <c r="Q65">
        <f t="shared" si="4"/>
        <v>1.2253577501078858</v>
      </c>
      <c r="R65" s="2">
        <v>13.6470281341825</v>
      </c>
      <c r="S65">
        <f t="shared" si="6"/>
        <v>0.58758037799952434</v>
      </c>
      <c r="U65">
        <v>1.3646870296143101</v>
      </c>
      <c r="V65">
        <v>1.2763776672959399</v>
      </c>
    </row>
    <row r="66" spans="1:22">
      <c r="A66">
        <v>1750</v>
      </c>
      <c r="B66">
        <v>7.4669999999999996</v>
      </c>
      <c r="C66">
        <v>3.218</v>
      </c>
      <c r="D66" s="3">
        <f t="shared" si="5"/>
        <v>0.43096290344181065</v>
      </c>
      <c r="E66">
        <v>78</v>
      </c>
      <c r="F66">
        <v>70.400000000000006</v>
      </c>
      <c r="G66" s="3">
        <f t="shared" ref="G66:G106" si="8">E66/F66</f>
        <v>1.1079545454545454</v>
      </c>
      <c r="I66">
        <v>31.52</v>
      </c>
      <c r="J66">
        <f t="shared" si="7"/>
        <v>31.274000000000001</v>
      </c>
      <c r="K66">
        <v>31</v>
      </c>
      <c r="L66">
        <v>5739</v>
      </c>
      <c r="M66" s="4">
        <v>6159.4617733559598</v>
      </c>
      <c r="N66">
        <v>95</v>
      </c>
      <c r="P66">
        <v>91.6</v>
      </c>
      <c r="Q66">
        <f t="shared" si="4"/>
        <v>1.2122812470888398</v>
      </c>
      <c r="R66" s="2">
        <v>11.2943469680372</v>
      </c>
      <c r="S66">
        <f t="shared" si="6"/>
        <v>0.48628438334604612</v>
      </c>
      <c r="U66">
        <v>1.34128005829001</v>
      </c>
      <c r="V66">
        <v>1.0545487019027999</v>
      </c>
    </row>
    <row r="67" spans="1:22">
      <c r="A67">
        <v>1751</v>
      </c>
      <c r="B67">
        <v>7.0970000000000004</v>
      </c>
      <c r="C67">
        <v>2.9780000000000002</v>
      </c>
      <c r="D67" s="3">
        <f t="shared" si="5"/>
        <v>0.41961392137522896</v>
      </c>
      <c r="E67">
        <v>78.099999999999994</v>
      </c>
      <c r="F67">
        <f t="shared" ref="F67:F75" si="9">F66+1.62</f>
        <v>72.02000000000001</v>
      </c>
      <c r="G67" s="3">
        <f t="shared" si="8"/>
        <v>1.0844209941682863</v>
      </c>
      <c r="I67">
        <v>31.12</v>
      </c>
      <c r="J67">
        <f t="shared" si="7"/>
        <v>31.544</v>
      </c>
      <c r="K67">
        <v>31</v>
      </c>
      <c r="L67">
        <v>5772</v>
      </c>
      <c r="M67" s="4">
        <v>6200</v>
      </c>
      <c r="N67">
        <v>90</v>
      </c>
      <c r="P67">
        <v>92.3</v>
      </c>
      <c r="Q67">
        <f t="shared" si="4"/>
        <v>1.1446774193548388</v>
      </c>
      <c r="R67" s="2">
        <v>11.2106962195965</v>
      </c>
      <c r="S67">
        <f t="shared" si="6"/>
        <v>0.48268275389929371</v>
      </c>
      <c r="U67">
        <v>1.2568775498292899</v>
      </c>
      <c r="V67">
        <v>1.04780220326641</v>
      </c>
    </row>
    <row r="68" spans="1:22">
      <c r="A68">
        <v>1752</v>
      </c>
      <c r="B68">
        <v>6.992</v>
      </c>
      <c r="C68">
        <v>2.944</v>
      </c>
      <c r="D68" s="3">
        <f t="shared" si="5"/>
        <v>0.42105263157894735</v>
      </c>
      <c r="E68">
        <v>76.900000000000006</v>
      </c>
      <c r="F68">
        <f t="shared" si="9"/>
        <v>73.640000000000015</v>
      </c>
      <c r="G68" s="3">
        <f t="shared" si="8"/>
        <v>1.0442694187941335</v>
      </c>
      <c r="I68">
        <v>31.68</v>
      </c>
      <c r="J68">
        <f t="shared" si="7"/>
        <v>31.57</v>
      </c>
      <c r="K68">
        <v>31</v>
      </c>
      <c r="L68">
        <v>5811</v>
      </c>
      <c r="M68" s="4">
        <v>6243.5172463825502</v>
      </c>
      <c r="N68">
        <v>93</v>
      </c>
      <c r="P68">
        <v>92.2</v>
      </c>
      <c r="Q68">
        <f t="shared" si="4"/>
        <v>1.1198815866250895</v>
      </c>
      <c r="R68" s="2">
        <v>11.128088394113</v>
      </c>
      <c r="S68">
        <f t="shared" si="6"/>
        <v>0.47912602807986532</v>
      </c>
      <c r="U68">
        <v>1.2309849326404101</v>
      </c>
      <c r="V68">
        <v>1.0372697980579599</v>
      </c>
    </row>
    <row r="69" spans="1:22">
      <c r="A69">
        <v>1753</v>
      </c>
      <c r="B69">
        <v>7.3380000000000001</v>
      </c>
      <c r="C69">
        <v>2.762</v>
      </c>
      <c r="D69" s="3">
        <f t="shared" si="5"/>
        <v>0.37639683837557919</v>
      </c>
      <c r="E69">
        <v>75</v>
      </c>
      <c r="F69">
        <f t="shared" si="9"/>
        <v>75.260000000000019</v>
      </c>
      <c r="G69" s="3">
        <f t="shared" si="8"/>
        <v>0.99654530959340926</v>
      </c>
      <c r="I69">
        <v>32.1</v>
      </c>
      <c r="J69">
        <f t="shared" si="7"/>
        <v>31.458000000000006</v>
      </c>
      <c r="K69">
        <v>31</v>
      </c>
      <c r="L69">
        <v>5856</v>
      </c>
      <c r="M69" s="4">
        <v>6293.5045724855399</v>
      </c>
      <c r="N69">
        <v>90</v>
      </c>
      <c r="P69">
        <v>94.1</v>
      </c>
      <c r="Q69">
        <f t="shared" ref="Q69:Q100" si="10">B69/M69*1000</f>
        <v>1.165964037283912</v>
      </c>
      <c r="R69" s="2">
        <v>10.810485706920799</v>
      </c>
      <c r="S69">
        <f t="shared" si="6"/>
        <v>0.4654514679368677</v>
      </c>
      <c r="U69">
        <v>1.2557612750140901</v>
      </c>
      <c r="V69">
        <v>1.01073917404032</v>
      </c>
    </row>
    <row r="70" spans="1:22">
      <c r="A70">
        <v>1754</v>
      </c>
      <c r="B70">
        <v>6.827</v>
      </c>
      <c r="C70">
        <v>2.823</v>
      </c>
      <c r="D70" s="3">
        <f t="shared" si="5"/>
        <v>0.41350519994140911</v>
      </c>
      <c r="E70">
        <v>72.2</v>
      </c>
      <c r="F70">
        <f t="shared" si="9"/>
        <v>76.880000000000024</v>
      </c>
      <c r="G70" s="3">
        <f t="shared" si="8"/>
        <v>0.93912591050988525</v>
      </c>
      <c r="I70">
        <v>31.43</v>
      </c>
      <c r="J70">
        <f t="shared" si="7"/>
        <v>31.294000000000004</v>
      </c>
      <c r="K70">
        <v>31</v>
      </c>
      <c r="L70">
        <v>5900</v>
      </c>
      <c r="M70" s="4">
        <v>6342.4420816807296</v>
      </c>
      <c r="N70">
        <v>90</v>
      </c>
      <c r="P70">
        <v>95.3</v>
      </c>
      <c r="Q70">
        <f t="shared" si="10"/>
        <v>1.0763992657842079</v>
      </c>
      <c r="R70" s="2">
        <v>10.7564912161326</v>
      </c>
      <c r="S70">
        <f t="shared" si="6"/>
        <v>0.46312670513904253</v>
      </c>
      <c r="U70">
        <v>1.1447009586066299</v>
      </c>
      <c r="V70">
        <v>0.99992956565334801</v>
      </c>
    </row>
    <row r="71" spans="1:22">
      <c r="A71">
        <v>1755</v>
      </c>
      <c r="B71">
        <v>6.9379999999999997</v>
      </c>
      <c r="C71">
        <v>2.7309999999999999</v>
      </c>
      <c r="D71" s="3">
        <f t="shared" si="5"/>
        <v>0.39362928797924474</v>
      </c>
      <c r="E71">
        <v>72.5</v>
      </c>
      <c r="F71">
        <f t="shared" si="9"/>
        <v>78.500000000000028</v>
      </c>
      <c r="G71" s="3">
        <f t="shared" si="8"/>
        <v>0.9235668789808914</v>
      </c>
      <c r="I71">
        <v>30.96</v>
      </c>
      <c r="J71">
        <f t="shared" si="7"/>
        <v>31.018000000000001</v>
      </c>
      <c r="K71">
        <v>31</v>
      </c>
      <c r="L71">
        <v>5943</v>
      </c>
      <c r="M71" s="4">
        <v>6390.3289348589497</v>
      </c>
      <c r="N71">
        <v>92</v>
      </c>
      <c r="P71">
        <v>95.7</v>
      </c>
      <c r="Q71">
        <f t="shared" si="10"/>
        <v>1.0857031102348316</v>
      </c>
      <c r="R71" s="2" t="e">
        <v>#NUM!</v>
      </c>
      <c r="S71" t="e">
        <f t="shared" si="6"/>
        <v>#NUM!</v>
      </c>
      <c r="U71">
        <v>1.14976927382058</v>
      </c>
      <c r="V71" t="e">
        <v>#NUM!</v>
      </c>
    </row>
    <row r="72" spans="1:22">
      <c r="A72">
        <v>1756</v>
      </c>
      <c r="B72">
        <v>7.0060000000000002</v>
      </c>
      <c r="C72">
        <v>2.7610000000000001</v>
      </c>
      <c r="D72" s="3">
        <f t="shared" ref="D72:D103" si="11">C72/B72</f>
        <v>0.39409077933200115</v>
      </c>
      <c r="E72">
        <v>74.599999999999994</v>
      </c>
      <c r="F72">
        <f t="shared" si="9"/>
        <v>80.120000000000033</v>
      </c>
      <c r="G72" s="3">
        <f t="shared" si="8"/>
        <v>0.93110334498252578</v>
      </c>
      <c r="I72">
        <v>30.3</v>
      </c>
      <c r="J72">
        <f t="shared" si="7"/>
        <v>30.838000000000001</v>
      </c>
      <c r="K72">
        <v>31</v>
      </c>
      <c r="L72">
        <v>5993</v>
      </c>
      <c r="M72" s="4">
        <v>6445.7686896266696</v>
      </c>
      <c r="N72">
        <v>92</v>
      </c>
      <c r="P72">
        <v>96</v>
      </c>
      <c r="Q72">
        <f t="shared" si="10"/>
        <v>1.0869145849547666</v>
      </c>
      <c r="R72" s="2" t="e">
        <v>#NUM!</v>
      </c>
      <c r="S72" t="e">
        <f t="shared" si="6"/>
        <v>#NUM!</v>
      </c>
      <c r="U72">
        <v>1.1474551981118499</v>
      </c>
      <c r="V72" t="e">
        <v>#NUM!</v>
      </c>
    </row>
    <row r="73" spans="1:22">
      <c r="A73">
        <v>1757</v>
      </c>
      <c r="B73">
        <v>7.9690000000000003</v>
      </c>
      <c r="C73">
        <v>2.8050000000000002</v>
      </c>
      <c r="D73" s="3">
        <f t="shared" si="11"/>
        <v>0.3519889572091856</v>
      </c>
      <c r="E73">
        <v>77.8</v>
      </c>
      <c r="F73">
        <f t="shared" si="9"/>
        <v>81.740000000000038</v>
      </c>
      <c r="G73" s="3">
        <f t="shared" si="8"/>
        <v>0.95179838512356207</v>
      </c>
      <c r="I73">
        <v>30.3</v>
      </c>
      <c r="J73">
        <f t="shared" si="7"/>
        <v>30.669999999999998</v>
      </c>
      <c r="K73">
        <v>31</v>
      </c>
      <c r="L73">
        <v>6021</v>
      </c>
      <c r="M73" s="4">
        <v>6477.56817026509</v>
      </c>
      <c r="N73">
        <v>109</v>
      </c>
      <c r="P73">
        <v>96.4</v>
      </c>
      <c r="Q73">
        <f t="shared" si="10"/>
        <v>1.2302456401124797</v>
      </c>
      <c r="R73" s="2">
        <v>12.091334395994</v>
      </c>
      <c r="S73">
        <f t="shared" ref="S73:S101" si="12">R73*K73/3/240</f>
        <v>0.5205991198275195</v>
      </c>
      <c r="U73">
        <v>1.29338063726454</v>
      </c>
      <c r="V73">
        <v>1.13530343286805</v>
      </c>
    </row>
    <row r="74" spans="1:22">
      <c r="A74">
        <v>1758</v>
      </c>
      <c r="B74">
        <v>7.9459999999999997</v>
      </c>
      <c r="C74">
        <v>2.895</v>
      </c>
      <c r="D74" s="3">
        <f t="shared" si="11"/>
        <v>0.36433425622954946</v>
      </c>
      <c r="E74">
        <v>82.1</v>
      </c>
      <c r="F74">
        <f t="shared" si="9"/>
        <v>83.360000000000042</v>
      </c>
      <c r="G74" s="3">
        <f t="shared" si="8"/>
        <v>0.98488483685220674</v>
      </c>
      <c r="I74">
        <v>31.2</v>
      </c>
      <c r="J74">
        <f t="shared" si="7"/>
        <v>30.601999999999997</v>
      </c>
      <c r="K74">
        <v>31</v>
      </c>
      <c r="L74">
        <v>6039</v>
      </c>
      <c r="M74" s="4">
        <v>6498.6222243191496</v>
      </c>
      <c r="N74">
        <v>106</v>
      </c>
      <c r="P74">
        <v>96.5</v>
      </c>
      <c r="Q74">
        <f t="shared" si="10"/>
        <v>1.2227207130558337</v>
      </c>
      <c r="R74" s="2">
        <v>12.390683771699599</v>
      </c>
      <c r="S74">
        <f t="shared" si="12"/>
        <v>0.53348777350373278</v>
      </c>
      <c r="U74">
        <v>1.2841374455610799</v>
      </c>
      <c r="V74">
        <v>1.1636085625803601</v>
      </c>
    </row>
    <row r="75" spans="1:22">
      <c r="A75">
        <v>1759</v>
      </c>
      <c r="B75">
        <v>8.1549999999999994</v>
      </c>
      <c r="C75">
        <v>2.9470000000000001</v>
      </c>
      <c r="D75" s="3">
        <f t="shared" si="11"/>
        <v>0.36137339055793993</v>
      </c>
      <c r="E75">
        <v>91.3</v>
      </c>
      <c r="F75">
        <f t="shared" si="9"/>
        <v>84.980000000000047</v>
      </c>
      <c r="G75" s="3">
        <f t="shared" si="8"/>
        <v>1.0743704401035532</v>
      </c>
      <c r="I75">
        <v>30.59</v>
      </c>
      <c r="J75">
        <f t="shared" si="7"/>
        <v>30.8</v>
      </c>
      <c r="K75">
        <v>31</v>
      </c>
      <c r="L75">
        <v>6063</v>
      </c>
      <c r="M75" s="4">
        <v>6526.1446798752804</v>
      </c>
      <c r="N75">
        <v>100</v>
      </c>
      <c r="P75">
        <v>97.5</v>
      </c>
      <c r="Q75">
        <f t="shared" si="10"/>
        <v>1.2495892138505038</v>
      </c>
      <c r="R75" s="2">
        <v>11.7233915882793</v>
      </c>
      <c r="S75">
        <f t="shared" si="12"/>
        <v>0.50475713782869203</v>
      </c>
      <c r="U75">
        <v>1.2988954827125001</v>
      </c>
      <c r="V75">
        <v>1.0951644432369501</v>
      </c>
    </row>
    <row r="76" spans="1:22">
      <c r="A76">
        <v>1760</v>
      </c>
      <c r="B76">
        <v>9.2070000000000007</v>
      </c>
      <c r="C76">
        <v>3.3719999999999999</v>
      </c>
      <c r="D76" s="3">
        <f t="shared" si="11"/>
        <v>0.36624307592049521</v>
      </c>
      <c r="E76">
        <v>101.7</v>
      </c>
      <c r="F76">
        <v>86.6</v>
      </c>
      <c r="G76" s="3">
        <f t="shared" si="8"/>
        <v>1.174364896073903</v>
      </c>
      <c r="I76">
        <v>30.62</v>
      </c>
      <c r="J76">
        <f t="shared" si="7"/>
        <v>30.859999999999996</v>
      </c>
      <c r="K76">
        <v>31</v>
      </c>
      <c r="L76">
        <v>6102</v>
      </c>
      <c r="M76" s="4">
        <v>6569.83058720394</v>
      </c>
      <c r="N76">
        <v>98</v>
      </c>
      <c r="P76">
        <v>98.7</v>
      </c>
      <c r="Q76">
        <f t="shared" si="10"/>
        <v>1.4014059994077284</v>
      </c>
      <c r="R76" s="2">
        <v>11.574891603721801</v>
      </c>
      <c r="S76">
        <f t="shared" si="12"/>
        <v>0.49836338849357747</v>
      </c>
      <c r="U76">
        <v>1.4389919817358601</v>
      </c>
      <c r="V76">
        <v>1.07131532350409</v>
      </c>
    </row>
    <row r="77" spans="1:22">
      <c r="A77">
        <v>1761</v>
      </c>
      <c r="B77">
        <v>9.5939999999999994</v>
      </c>
      <c r="C77">
        <v>3.823</v>
      </c>
      <c r="D77" s="3">
        <f t="shared" si="11"/>
        <v>0.39847821555138629</v>
      </c>
      <c r="E77">
        <v>114.2</v>
      </c>
      <c r="F77">
        <f t="shared" ref="F77:F85" si="13">F76+1.05</f>
        <v>87.649999999999991</v>
      </c>
      <c r="G77" s="3">
        <f t="shared" si="8"/>
        <v>1.3029092983456934</v>
      </c>
      <c r="I77">
        <v>31.29</v>
      </c>
      <c r="J77">
        <f t="shared" si="7"/>
        <v>30.95</v>
      </c>
      <c r="K77">
        <v>31</v>
      </c>
      <c r="L77">
        <v>6147</v>
      </c>
      <c r="M77" s="4">
        <v>6620</v>
      </c>
      <c r="N77">
        <v>94</v>
      </c>
      <c r="P77">
        <v>100.1</v>
      </c>
      <c r="Q77">
        <f t="shared" si="10"/>
        <v>1.4492447129909365</v>
      </c>
      <c r="R77" s="2" t="e">
        <v>#NUM!</v>
      </c>
      <c r="S77" t="e">
        <f t="shared" si="12"/>
        <v>#NUM!</v>
      </c>
      <c r="U77">
        <v>1.4673009593852899</v>
      </c>
      <c r="V77" t="e">
        <v>#NUM!</v>
      </c>
    </row>
    <row r="78" spans="1:22">
      <c r="A78">
        <v>1762</v>
      </c>
      <c r="B78">
        <v>9.4589999999999996</v>
      </c>
      <c r="C78">
        <v>4.4039999999999999</v>
      </c>
      <c r="D78" s="3">
        <f t="shared" si="11"/>
        <v>0.46558832857595939</v>
      </c>
      <c r="E78">
        <v>126.6</v>
      </c>
      <c r="F78">
        <f t="shared" si="13"/>
        <v>88.699999999999989</v>
      </c>
      <c r="G78" s="3">
        <f t="shared" si="8"/>
        <v>1.4272829763246901</v>
      </c>
      <c r="I78">
        <v>30.6</v>
      </c>
      <c r="J78">
        <f t="shared" si="7"/>
        <v>30.936</v>
      </c>
      <c r="K78">
        <v>31</v>
      </c>
      <c r="L78">
        <v>6173</v>
      </c>
      <c r="M78" s="4">
        <v>6650.4743139393804</v>
      </c>
      <c r="N78">
        <v>94</v>
      </c>
      <c r="P78">
        <v>101.6</v>
      </c>
      <c r="Q78">
        <f t="shared" si="10"/>
        <v>1.4223045685890336</v>
      </c>
      <c r="R78" s="2" t="e">
        <v>#NUM!</v>
      </c>
      <c r="S78" t="e">
        <f t="shared" si="12"/>
        <v>#NUM!</v>
      </c>
      <c r="U78">
        <v>1.41876495168308</v>
      </c>
      <c r="V78" t="e">
        <v>#NUM!</v>
      </c>
    </row>
    <row r="79" spans="1:22">
      <c r="A79">
        <v>1763</v>
      </c>
      <c r="B79">
        <v>9.7929999999999993</v>
      </c>
      <c r="C79">
        <v>4.6660000000000004</v>
      </c>
      <c r="D79" s="3">
        <f t="shared" si="11"/>
        <v>0.47646277953640365</v>
      </c>
      <c r="E79">
        <v>132.6</v>
      </c>
      <c r="F79">
        <f t="shared" si="13"/>
        <v>89.749999999999986</v>
      </c>
      <c r="G79" s="3">
        <f t="shared" si="8"/>
        <v>1.4774373259052926</v>
      </c>
      <c r="I79">
        <v>31.65</v>
      </c>
      <c r="J79">
        <f t="shared" si="7"/>
        <v>31.05</v>
      </c>
      <c r="K79">
        <v>31</v>
      </c>
      <c r="L79">
        <v>6162</v>
      </c>
      <c r="M79" s="4">
        <v>6641.0927320959099</v>
      </c>
      <c r="N79">
        <v>100</v>
      </c>
      <c r="P79">
        <v>101.6</v>
      </c>
      <c r="Q79">
        <f t="shared" si="10"/>
        <v>1.4746067243830454</v>
      </c>
      <c r="R79" s="2">
        <v>12.7949714391771</v>
      </c>
      <c r="S79">
        <f t="shared" si="12"/>
        <v>0.55089460363123632</v>
      </c>
      <c r="U79">
        <v>1.47093694576703</v>
      </c>
      <c r="V79">
        <v>1.1265966002089001</v>
      </c>
    </row>
    <row r="80" spans="1:22">
      <c r="A80">
        <v>1764</v>
      </c>
      <c r="B80">
        <v>10.221</v>
      </c>
      <c r="C80">
        <v>4.8869999999999996</v>
      </c>
      <c r="D80" s="3">
        <f t="shared" si="11"/>
        <v>0.47813325506310533</v>
      </c>
      <c r="E80">
        <v>134.19999999999999</v>
      </c>
      <c r="F80">
        <f t="shared" si="13"/>
        <v>90.799999999999983</v>
      </c>
      <c r="G80" s="3">
        <f t="shared" si="8"/>
        <v>1.4779735682819384</v>
      </c>
      <c r="I80">
        <v>30.52</v>
      </c>
      <c r="J80">
        <f t="shared" si="7"/>
        <v>31.153999999999996</v>
      </c>
      <c r="K80">
        <v>31</v>
      </c>
      <c r="L80">
        <v>6195</v>
      </c>
      <c r="M80" s="4">
        <v>6679.1409463946002</v>
      </c>
      <c r="N80">
        <v>102</v>
      </c>
      <c r="P80">
        <v>101.8</v>
      </c>
      <c r="Q80">
        <f t="shared" si="10"/>
        <v>1.5302866165022757</v>
      </c>
      <c r="R80" s="2">
        <v>12.322067748229699</v>
      </c>
      <c r="S80">
        <f t="shared" si="12"/>
        <v>0.53053347249322313</v>
      </c>
      <c r="U80">
        <v>1.5234792951854099</v>
      </c>
      <c r="V80">
        <v>1.06657411434392</v>
      </c>
    </row>
    <row r="81" spans="1:22">
      <c r="A81">
        <v>1765</v>
      </c>
      <c r="B81">
        <v>10.928000000000001</v>
      </c>
      <c r="C81">
        <v>4.8280000000000003</v>
      </c>
      <c r="D81" s="3">
        <f t="shared" si="11"/>
        <v>0.44180087847730598</v>
      </c>
      <c r="E81">
        <v>133.6</v>
      </c>
      <c r="F81">
        <f t="shared" si="13"/>
        <v>91.84999999999998</v>
      </c>
      <c r="G81" s="3">
        <f t="shared" si="8"/>
        <v>1.4545454545454548</v>
      </c>
      <c r="I81">
        <v>31.19</v>
      </c>
      <c r="J81">
        <f t="shared" si="7"/>
        <v>31.348000000000003</v>
      </c>
      <c r="K81">
        <v>31</v>
      </c>
      <c r="L81">
        <v>6246</v>
      </c>
      <c r="M81" s="4">
        <v>6736.6295263561396</v>
      </c>
      <c r="N81">
        <v>106</v>
      </c>
      <c r="P81">
        <v>101.7</v>
      </c>
      <c r="Q81">
        <f t="shared" si="10"/>
        <v>1.622176187252943</v>
      </c>
      <c r="R81" s="2">
        <v>12.772438408297401</v>
      </c>
      <c r="S81">
        <f t="shared" si="12"/>
        <v>0.54992443146836034</v>
      </c>
      <c r="U81">
        <v>1.6165480694146199</v>
      </c>
      <c r="V81">
        <v>1.07453832735993</v>
      </c>
    </row>
    <row r="82" spans="1:22">
      <c r="A82">
        <v>1766</v>
      </c>
      <c r="B82">
        <v>10.276</v>
      </c>
      <c r="C82">
        <v>4.6859999999999999</v>
      </c>
      <c r="D82" s="3">
        <f t="shared" si="11"/>
        <v>0.45601401323472168</v>
      </c>
      <c r="E82">
        <v>133.30000000000001</v>
      </c>
      <c r="F82">
        <f t="shared" si="13"/>
        <v>92.899999999999977</v>
      </c>
      <c r="G82" s="3">
        <f t="shared" si="8"/>
        <v>1.4348762109795483</v>
      </c>
      <c r="I82">
        <v>31.81</v>
      </c>
      <c r="J82">
        <f t="shared" si="7"/>
        <v>31.294</v>
      </c>
      <c r="K82">
        <v>31</v>
      </c>
      <c r="L82">
        <v>6277</v>
      </c>
      <c r="M82" s="4">
        <v>6772.5799456683899</v>
      </c>
      <c r="N82">
        <v>107</v>
      </c>
      <c r="P82">
        <v>101.9</v>
      </c>
      <c r="Q82">
        <f t="shared" si="10"/>
        <v>1.517294750661796</v>
      </c>
      <c r="R82" s="2">
        <v>12.817420323104001</v>
      </c>
      <c r="S82">
        <f t="shared" si="12"/>
        <v>0.55186115280031123</v>
      </c>
      <c r="U82">
        <v>1.5090628423105401</v>
      </c>
      <c r="V82">
        <v>1.04255341550222</v>
      </c>
    </row>
    <row r="83" spans="1:22">
      <c r="A83">
        <v>1767</v>
      </c>
      <c r="B83">
        <v>9.8680000000000003</v>
      </c>
      <c r="C83">
        <v>5.0199999999999996</v>
      </c>
      <c r="D83" s="3">
        <f t="shared" si="11"/>
        <v>0.50871503850830968</v>
      </c>
      <c r="E83">
        <v>133.9</v>
      </c>
      <c r="F83">
        <f t="shared" si="13"/>
        <v>93.949999999999974</v>
      </c>
      <c r="G83" s="3">
        <f t="shared" si="8"/>
        <v>1.4252261841405007</v>
      </c>
      <c r="I83">
        <v>31.57</v>
      </c>
      <c r="J83">
        <f t="shared" si="7"/>
        <v>31.529999999999994</v>
      </c>
      <c r="K83">
        <v>31</v>
      </c>
      <c r="L83">
        <v>6295</v>
      </c>
      <c r="M83" s="4">
        <v>6794.5236280503204</v>
      </c>
      <c r="N83">
        <v>109</v>
      </c>
      <c r="P83">
        <v>103.2</v>
      </c>
      <c r="Q83">
        <f t="shared" si="10"/>
        <v>1.4523461158132156</v>
      </c>
      <c r="R83" s="2">
        <v>11.627949181412999</v>
      </c>
      <c r="S83">
        <f t="shared" si="12"/>
        <v>0.50064781197750419</v>
      </c>
      <c r="U83">
        <v>1.4262707788915601</v>
      </c>
      <c r="V83">
        <v>0.91963641379683003</v>
      </c>
    </row>
    <row r="84" spans="1:22">
      <c r="A84">
        <v>1768</v>
      </c>
      <c r="B84">
        <v>10.131</v>
      </c>
      <c r="C84">
        <v>4.9109999999999996</v>
      </c>
      <c r="D84" s="3">
        <f t="shared" si="11"/>
        <v>0.484749777909387</v>
      </c>
      <c r="E84">
        <v>132.6</v>
      </c>
      <c r="F84">
        <f t="shared" si="13"/>
        <v>94.999999999999972</v>
      </c>
      <c r="G84" s="3">
        <f t="shared" si="8"/>
        <v>1.3957894736842109</v>
      </c>
      <c r="I84">
        <v>31.38</v>
      </c>
      <c r="J84">
        <f t="shared" si="7"/>
        <v>31.612000000000002</v>
      </c>
      <c r="K84">
        <v>31</v>
      </c>
      <c r="L84">
        <v>6314</v>
      </c>
      <c r="M84" s="4">
        <v>6817.5614896269699</v>
      </c>
      <c r="N84">
        <v>108</v>
      </c>
      <c r="P84">
        <v>105.5</v>
      </c>
      <c r="Q84">
        <f t="shared" si="10"/>
        <v>1.4860151999236797</v>
      </c>
      <c r="R84" s="2">
        <v>12.0575240759431</v>
      </c>
      <c r="S84">
        <f t="shared" si="12"/>
        <v>0.5191433977142168</v>
      </c>
      <c r="U84">
        <v>1.42752047591447</v>
      </c>
      <c r="V84">
        <v>0.93001385548931903</v>
      </c>
    </row>
    <row r="85" spans="1:22">
      <c r="A85">
        <v>1769</v>
      </c>
      <c r="B85">
        <v>11.13</v>
      </c>
      <c r="C85">
        <v>4.8029999999999999</v>
      </c>
      <c r="D85" s="3">
        <f t="shared" si="11"/>
        <v>0.43153638814016171</v>
      </c>
      <c r="E85">
        <v>130.30000000000001</v>
      </c>
      <c r="F85">
        <f t="shared" si="13"/>
        <v>96.049999999999969</v>
      </c>
      <c r="G85" s="3">
        <f t="shared" si="8"/>
        <v>1.3565851119208752</v>
      </c>
      <c r="I85">
        <v>31.7</v>
      </c>
      <c r="J85">
        <f t="shared" si="7"/>
        <v>31.577999999999996</v>
      </c>
      <c r="K85">
        <v>31</v>
      </c>
      <c r="L85">
        <v>6358</v>
      </c>
      <c r="M85" s="4">
        <v>6867.6184259020501</v>
      </c>
      <c r="N85">
        <v>99</v>
      </c>
      <c r="P85">
        <v>107.4</v>
      </c>
      <c r="Q85">
        <f t="shared" si="10"/>
        <v>1.6206491551746478</v>
      </c>
      <c r="R85" s="2">
        <v>11.808732362248399</v>
      </c>
      <c r="S85">
        <f t="shared" si="12"/>
        <v>0.50843153226347271</v>
      </c>
      <c r="U85">
        <v>1.5293126471638701</v>
      </c>
      <c r="V85">
        <v>0.89493482115047396</v>
      </c>
    </row>
    <row r="86" spans="1:22">
      <c r="A86">
        <v>1770</v>
      </c>
      <c r="B86">
        <v>11.372999999999999</v>
      </c>
      <c r="C86">
        <v>4.8360000000000003</v>
      </c>
      <c r="D86" s="3">
        <f t="shared" si="11"/>
        <v>0.42521762068055929</v>
      </c>
      <c r="E86">
        <v>130.6</v>
      </c>
      <c r="F86">
        <v>97.1</v>
      </c>
      <c r="G86" s="3">
        <f t="shared" si="8"/>
        <v>1.345005149330587</v>
      </c>
      <c r="I86">
        <v>31.6</v>
      </c>
      <c r="J86">
        <f t="shared" si="7"/>
        <v>31.570000000000004</v>
      </c>
      <c r="K86">
        <v>31</v>
      </c>
      <c r="L86">
        <v>6405</v>
      </c>
      <c r="M86" s="4">
        <v>6920.9522896389599</v>
      </c>
      <c r="N86">
        <v>100</v>
      </c>
      <c r="P86">
        <v>108.8</v>
      </c>
      <c r="Q86">
        <f t="shared" si="10"/>
        <v>1.6432709725547445</v>
      </c>
      <c r="R86" s="2" t="e">
        <v>#NUM!</v>
      </c>
      <c r="S86" t="e">
        <f t="shared" si="12"/>
        <v>#NUM!</v>
      </c>
      <c r="U86">
        <v>1.53070620494829</v>
      </c>
      <c r="V86" t="e">
        <v>#NUM!</v>
      </c>
    </row>
    <row r="87" spans="1:22">
      <c r="A87">
        <v>1771</v>
      </c>
      <c r="B87">
        <v>10.987</v>
      </c>
      <c r="C87">
        <v>4.6109999999999998</v>
      </c>
      <c r="D87" s="3">
        <f t="shared" si="11"/>
        <v>0.41967780103758984</v>
      </c>
      <c r="E87">
        <v>128.9</v>
      </c>
      <c r="F87">
        <f t="shared" ref="F87:F95" si="14">F86+2.46</f>
        <v>99.559999999999988</v>
      </c>
      <c r="G87" s="3">
        <f t="shared" si="8"/>
        <v>1.294696665327441</v>
      </c>
      <c r="I87">
        <v>31.64</v>
      </c>
      <c r="J87">
        <f t="shared" si="7"/>
        <v>31.27</v>
      </c>
      <c r="K87">
        <v>31</v>
      </c>
      <c r="L87">
        <v>6448</v>
      </c>
      <c r="M87" s="4">
        <v>6970</v>
      </c>
      <c r="N87">
        <v>107</v>
      </c>
      <c r="P87">
        <v>109.5</v>
      </c>
      <c r="Q87">
        <f t="shared" si="10"/>
        <v>1.5763271162123385</v>
      </c>
      <c r="R87" s="2" t="e">
        <v>#NUM!</v>
      </c>
      <c r="S87" t="e">
        <f t="shared" si="12"/>
        <v>#NUM!</v>
      </c>
      <c r="U87">
        <v>1.4589613317810199</v>
      </c>
      <c r="V87" t="e">
        <v>#NUM!</v>
      </c>
    </row>
    <row r="88" spans="1:22">
      <c r="A88">
        <v>1772</v>
      </c>
      <c r="B88">
        <v>11.032999999999999</v>
      </c>
      <c r="C88">
        <v>4.6859999999999999</v>
      </c>
      <c r="D88" s="3">
        <f t="shared" si="11"/>
        <v>0.42472582253240282</v>
      </c>
      <c r="E88">
        <v>128.69999999999999</v>
      </c>
      <c r="F88">
        <f t="shared" si="14"/>
        <v>102.01999999999998</v>
      </c>
      <c r="G88" s="3">
        <f t="shared" si="8"/>
        <v>1.2615173495393062</v>
      </c>
      <c r="H88" t="s">
        <v>17</v>
      </c>
      <c r="I88">
        <v>31.53</v>
      </c>
      <c r="J88">
        <f t="shared" si="7"/>
        <v>30.972000000000001</v>
      </c>
      <c r="K88">
        <v>31</v>
      </c>
      <c r="L88">
        <v>6499</v>
      </c>
      <c r="M88" s="4">
        <v>7018.5760988503298</v>
      </c>
      <c r="N88">
        <v>117</v>
      </c>
      <c r="P88">
        <v>110.2</v>
      </c>
      <c r="Q88">
        <f t="shared" si="10"/>
        <v>1.571971272322209</v>
      </c>
      <c r="R88" s="2">
        <v>14.0473425374258</v>
      </c>
      <c r="S88">
        <f t="shared" si="12"/>
        <v>0.60481613702805537</v>
      </c>
      <c r="U88">
        <v>1.4456879623568499</v>
      </c>
      <c r="V88">
        <v>1.0344652586565899</v>
      </c>
    </row>
    <row r="89" spans="1:22">
      <c r="A89">
        <v>1773</v>
      </c>
      <c r="B89">
        <v>10.487</v>
      </c>
      <c r="C89">
        <v>4.649</v>
      </c>
      <c r="D89" s="3">
        <f t="shared" si="11"/>
        <v>0.44331076570992656</v>
      </c>
      <c r="E89">
        <v>128.9</v>
      </c>
      <c r="F89">
        <f t="shared" si="14"/>
        <v>104.47999999999998</v>
      </c>
      <c r="G89" s="3">
        <f t="shared" si="8"/>
        <v>1.2337289433384384</v>
      </c>
      <c r="I89">
        <v>29.88</v>
      </c>
      <c r="J89">
        <f t="shared" si="7"/>
        <v>30.791999999999994</v>
      </c>
      <c r="K89">
        <v>31</v>
      </c>
      <c r="L89">
        <v>6552</v>
      </c>
      <c r="M89" s="4">
        <v>7069.2072337648697</v>
      </c>
      <c r="N89">
        <v>119</v>
      </c>
      <c r="P89">
        <v>110.1</v>
      </c>
      <c r="Q89">
        <f t="shared" si="10"/>
        <v>1.4834761032199795</v>
      </c>
      <c r="R89" s="2">
        <v>13.9942137008454</v>
      </c>
      <c r="S89">
        <f t="shared" si="12"/>
        <v>0.60252864545306584</v>
      </c>
      <c r="U89">
        <v>1.36554114428894</v>
      </c>
      <c r="V89">
        <v>1.0226359501445701</v>
      </c>
    </row>
    <row r="90" spans="1:22">
      <c r="A90">
        <v>1774</v>
      </c>
      <c r="B90">
        <v>10.613</v>
      </c>
      <c r="C90">
        <v>4.6120000000000001</v>
      </c>
      <c r="D90" s="3">
        <f t="shared" si="11"/>
        <v>0.43456138697823427</v>
      </c>
      <c r="E90">
        <v>127.7</v>
      </c>
      <c r="F90">
        <f t="shared" si="14"/>
        <v>106.93999999999997</v>
      </c>
      <c r="G90" s="3">
        <f t="shared" si="8"/>
        <v>1.1941275481578459</v>
      </c>
      <c r="H90" s="3">
        <v>0.50300100427361205</v>
      </c>
      <c r="I90">
        <v>30.21</v>
      </c>
      <c r="J90">
        <f>AVERAGEA(I88:I91)</f>
        <v>30.580000000000002</v>
      </c>
      <c r="K90">
        <v>31</v>
      </c>
      <c r="L90">
        <v>6602</v>
      </c>
      <c r="M90" s="4">
        <v>7116.4977023276797</v>
      </c>
      <c r="N90">
        <v>116</v>
      </c>
      <c r="P90">
        <v>111</v>
      </c>
      <c r="Q90">
        <f t="shared" si="10"/>
        <v>1.4913234632997459</v>
      </c>
      <c r="R90" s="2">
        <v>14.002457744243999</v>
      </c>
      <c r="S90">
        <f t="shared" si="12"/>
        <v>0.60288359732161667</v>
      </c>
      <c r="U90">
        <v>1.3616341224403601</v>
      </c>
      <c r="V90">
        <v>1.0241879670381699</v>
      </c>
    </row>
    <row r="91" spans="1:22">
      <c r="A91">
        <v>1775</v>
      </c>
      <c r="B91">
        <v>11.112</v>
      </c>
      <c r="C91">
        <v>4.6740000000000004</v>
      </c>
      <c r="D91" s="3">
        <f t="shared" si="11"/>
        <v>0.42062634989200864</v>
      </c>
      <c r="E91">
        <v>127.3</v>
      </c>
      <c r="F91">
        <f t="shared" si="14"/>
        <v>109.39999999999996</v>
      </c>
      <c r="G91" s="3">
        <f t="shared" si="8"/>
        <v>1.1636197440585012</v>
      </c>
      <c r="H91" s="3">
        <v>0.49936990755296601</v>
      </c>
      <c r="I91">
        <v>30.7</v>
      </c>
      <c r="J91">
        <f>AVERAGEA(I89:I91)</f>
        <v>30.263333333333335</v>
      </c>
      <c r="K91">
        <v>31</v>
      </c>
      <c r="L91">
        <v>6674</v>
      </c>
      <c r="M91" s="4">
        <v>7187.3796370726404</v>
      </c>
      <c r="N91">
        <v>113</v>
      </c>
      <c r="P91">
        <v>112.2</v>
      </c>
      <c r="Q91">
        <f t="shared" si="10"/>
        <v>1.5460432815715053</v>
      </c>
      <c r="R91" s="2">
        <v>13.866889534458901</v>
      </c>
      <c r="S91">
        <f t="shared" si="12"/>
        <v>0.59704663273364711</v>
      </c>
      <c r="U91">
        <v>1.3964980873392701</v>
      </c>
      <c r="V91">
        <v>1.02845194361965</v>
      </c>
    </row>
    <row r="92" spans="1:22">
      <c r="A92">
        <v>1776</v>
      </c>
      <c r="B92">
        <v>10.576000000000001</v>
      </c>
      <c r="C92">
        <v>4.6319999999999997</v>
      </c>
      <c r="D92" s="3">
        <f t="shared" si="11"/>
        <v>0.43797276853252642</v>
      </c>
      <c r="E92">
        <v>131.19999999999999</v>
      </c>
      <c r="F92">
        <f t="shared" si="14"/>
        <v>111.85999999999996</v>
      </c>
      <c r="G92" s="3">
        <f t="shared" si="8"/>
        <v>1.1728946897908104</v>
      </c>
      <c r="H92" s="3">
        <v>0.48637826743569101</v>
      </c>
      <c r="J92">
        <f>AVERAGEA(I90:I94)</f>
        <v>30.428333333333331</v>
      </c>
      <c r="K92">
        <v>31</v>
      </c>
      <c r="L92">
        <v>6740</v>
      </c>
      <c r="M92" s="4">
        <v>7251.6608991939402</v>
      </c>
      <c r="N92">
        <v>114</v>
      </c>
      <c r="P92">
        <v>113.2</v>
      </c>
      <c r="Q92">
        <f t="shared" si="10"/>
        <v>1.4584245108835105</v>
      </c>
      <c r="R92" s="2">
        <v>13.967823561299699</v>
      </c>
      <c r="S92">
        <f t="shared" si="12"/>
        <v>0.601392403333737</v>
      </c>
      <c r="U92">
        <v>1.30571707083352</v>
      </c>
      <c r="V92">
        <v>1.04663064371873</v>
      </c>
    </row>
    <row r="93" spans="1:22">
      <c r="A93">
        <v>1777</v>
      </c>
      <c r="B93">
        <v>11.105</v>
      </c>
      <c r="C93">
        <v>4.7089999999999996</v>
      </c>
      <c r="D93" s="3">
        <f t="shared" si="11"/>
        <v>0.42404322377307513</v>
      </c>
      <c r="E93">
        <v>136.6</v>
      </c>
      <c r="F93">
        <f t="shared" si="14"/>
        <v>114.31999999999995</v>
      </c>
      <c r="G93" s="3">
        <f t="shared" si="8"/>
        <v>1.1948915325402385</v>
      </c>
      <c r="H93" s="3">
        <v>0.48968869725043002</v>
      </c>
      <c r="J93">
        <f>AVERAGEA(I91:I95)</f>
        <v>30.233333333333334</v>
      </c>
      <c r="K93">
        <v>31</v>
      </c>
      <c r="L93">
        <v>6808</v>
      </c>
      <c r="M93" s="4">
        <v>7317.9588838415502</v>
      </c>
      <c r="N93">
        <v>108</v>
      </c>
      <c r="P93">
        <v>114</v>
      </c>
      <c r="Q93">
        <f t="shared" si="10"/>
        <v>1.5174996438584045</v>
      </c>
      <c r="R93" s="2">
        <v>14.2191965294755</v>
      </c>
      <c r="S93">
        <f t="shared" si="12"/>
        <v>0.61221540613019521</v>
      </c>
      <c r="U93">
        <v>1.34907253485651</v>
      </c>
      <c r="V93">
        <v>1.0660455459051399</v>
      </c>
    </row>
    <row r="94" spans="1:22">
      <c r="A94">
        <v>1778</v>
      </c>
      <c r="B94">
        <v>11.436</v>
      </c>
      <c r="C94">
        <v>5.03</v>
      </c>
      <c r="D94" s="3">
        <f t="shared" si="11"/>
        <v>0.43983910458202169</v>
      </c>
      <c r="E94">
        <v>143.1</v>
      </c>
      <c r="F94">
        <f t="shared" si="14"/>
        <v>116.77999999999994</v>
      </c>
      <c r="G94" s="3">
        <f t="shared" si="8"/>
        <v>1.2253810584004117</v>
      </c>
      <c r="H94" s="3">
        <v>0.50059319642350597</v>
      </c>
      <c r="I94">
        <f>(31+5/8+29+1/8)/2</f>
        <v>30.375</v>
      </c>
      <c r="J94">
        <f>AVERAGEA(I94:I96)</f>
        <v>29.958333333333332</v>
      </c>
      <c r="K94">
        <v>31</v>
      </c>
      <c r="L94">
        <v>6882</v>
      </c>
      <c r="M94" s="4">
        <v>7390.5631318215001</v>
      </c>
      <c r="N94">
        <v>117</v>
      </c>
      <c r="P94">
        <v>113.9</v>
      </c>
      <c r="Q94">
        <f t="shared" si="10"/>
        <v>1.5473787038987719</v>
      </c>
      <c r="R94" s="2">
        <v>14.697440316601099</v>
      </c>
      <c r="S94">
        <f t="shared" si="12"/>
        <v>0.63280645807588065</v>
      </c>
      <c r="U94">
        <v>1.3768430785841099</v>
      </c>
      <c r="V94">
        <v>1.09921191643509</v>
      </c>
    </row>
    <row r="95" spans="1:22">
      <c r="A95">
        <v>1779</v>
      </c>
      <c r="B95">
        <v>11.853</v>
      </c>
      <c r="C95">
        <v>5.6180000000000003</v>
      </c>
      <c r="D95" s="3">
        <f t="shared" si="11"/>
        <v>0.47397283388171774</v>
      </c>
      <c r="E95">
        <v>153.4</v>
      </c>
      <c r="F95">
        <f t="shared" si="14"/>
        <v>119.23999999999994</v>
      </c>
      <c r="G95" s="3">
        <f t="shared" si="8"/>
        <v>1.2864810466286489</v>
      </c>
      <c r="H95" s="3">
        <v>0.51753791583015996</v>
      </c>
      <c r="I95">
        <f>(30.25+29)/2</f>
        <v>29.625</v>
      </c>
      <c r="J95">
        <f>AVERAGEA(I94:I97)</f>
        <v>30.234375</v>
      </c>
      <c r="K95">
        <v>31</v>
      </c>
      <c r="L95">
        <v>6949</v>
      </c>
      <c r="M95" s="4">
        <v>7455.50793336474</v>
      </c>
      <c r="N95">
        <v>111</v>
      </c>
      <c r="P95">
        <v>114.9</v>
      </c>
      <c r="Q95">
        <f t="shared" si="10"/>
        <v>1.5898313174553396</v>
      </c>
      <c r="R95" s="2" t="e">
        <v>#NUM!</v>
      </c>
      <c r="S95" t="e">
        <f t="shared" si="12"/>
        <v>#NUM!</v>
      </c>
      <c r="U95">
        <v>1.4023052931506499</v>
      </c>
      <c r="V95" t="e">
        <v>#NUM!</v>
      </c>
    </row>
    <row r="96" spans="1:22">
      <c r="A96">
        <v>1780</v>
      </c>
      <c r="B96">
        <v>12.523999999999999</v>
      </c>
      <c r="C96">
        <v>5.9950000000000001</v>
      </c>
      <c r="D96" s="3">
        <f t="shared" si="11"/>
        <v>0.47868093260938999</v>
      </c>
      <c r="E96">
        <v>167.2</v>
      </c>
      <c r="F96">
        <v>121.7</v>
      </c>
      <c r="G96" s="3">
        <f t="shared" si="8"/>
        <v>1.3738701725554641</v>
      </c>
      <c r="H96" s="3">
        <v>0.53664369480642005</v>
      </c>
      <c r="I96">
        <f>(30.5+29.25)/2</f>
        <v>29.875</v>
      </c>
      <c r="J96">
        <f t="shared" ref="J96:J102" si="15">AVERAGEA(I94:I98)</f>
        <v>30.55</v>
      </c>
      <c r="K96">
        <v>31</v>
      </c>
      <c r="L96">
        <v>6989</v>
      </c>
      <c r="M96" s="4">
        <v>7491.3768402220703</v>
      </c>
      <c r="N96">
        <v>110</v>
      </c>
      <c r="P96">
        <v>115.9</v>
      </c>
      <c r="Q96">
        <f t="shared" si="10"/>
        <v>1.671788813607292</v>
      </c>
      <c r="R96" s="2" t="e">
        <v>#NUM!</v>
      </c>
      <c r="S96" t="e">
        <f t="shared" si="12"/>
        <v>#NUM!</v>
      </c>
      <c r="U96">
        <v>1.4618726238661499</v>
      </c>
      <c r="V96" t="e">
        <v>#NUM!</v>
      </c>
    </row>
    <row r="97" spans="1:22">
      <c r="A97">
        <v>1781</v>
      </c>
      <c r="B97">
        <v>13.28</v>
      </c>
      <c r="C97">
        <v>6.9169999999999998</v>
      </c>
      <c r="D97" s="3">
        <f t="shared" si="11"/>
        <v>0.52085843373493979</v>
      </c>
      <c r="E97">
        <v>190.4</v>
      </c>
      <c r="F97">
        <f t="shared" ref="F97:F105" si="16">F96+2.62</f>
        <v>124.32000000000001</v>
      </c>
      <c r="G97" s="3">
        <f t="shared" si="8"/>
        <v>1.5315315315315314</v>
      </c>
      <c r="H97" s="3">
        <v>0.535481884374023</v>
      </c>
      <c r="I97">
        <f>(32+1/16+30+1/16)/2</f>
        <v>31.0625</v>
      </c>
      <c r="J97">
        <f t="shared" si="15"/>
        <v>30.824999999999999</v>
      </c>
      <c r="K97">
        <v>31</v>
      </c>
      <c r="L97">
        <v>7069</v>
      </c>
      <c r="M97" s="4">
        <v>7570</v>
      </c>
      <c r="N97">
        <v>115</v>
      </c>
      <c r="P97">
        <v>116.6</v>
      </c>
      <c r="Q97">
        <f t="shared" si="10"/>
        <v>1.7542932628797885</v>
      </c>
      <c r="R97" s="2">
        <v>15.5575177785152</v>
      </c>
      <c r="S97">
        <f t="shared" si="12"/>
        <v>0.66983757101940433</v>
      </c>
      <c r="U97">
        <v>1.5248081318258599</v>
      </c>
      <c r="V97">
        <v>1.14766801650795</v>
      </c>
    </row>
    <row r="98" spans="1:22">
      <c r="A98">
        <v>1782</v>
      </c>
      <c r="B98">
        <v>13.765000000000001</v>
      </c>
      <c r="C98">
        <v>7.3639999999999999</v>
      </c>
      <c r="D98" s="3">
        <f t="shared" si="11"/>
        <v>0.53498002179440607</v>
      </c>
      <c r="E98">
        <v>214.3</v>
      </c>
      <c r="F98">
        <f t="shared" si="16"/>
        <v>126.94000000000001</v>
      </c>
      <c r="G98" s="3">
        <f t="shared" si="8"/>
        <v>1.6881991492043484</v>
      </c>
      <c r="H98" s="3">
        <v>0.56239343783171902</v>
      </c>
      <c r="I98">
        <f>(32.5+31.125)/2</f>
        <v>31.8125</v>
      </c>
      <c r="J98">
        <f t="shared" si="15"/>
        <v>30.912500000000001</v>
      </c>
      <c r="K98">
        <v>31</v>
      </c>
      <c r="L98">
        <v>7127</v>
      </c>
      <c r="M98" s="4">
        <v>7615.0442949519102</v>
      </c>
      <c r="N98">
        <v>116</v>
      </c>
      <c r="P98">
        <v>117.1</v>
      </c>
      <c r="Q98">
        <f t="shared" si="10"/>
        <v>1.8076060318027247</v>
      </c>
      <c r="R98" s="2">
        <v>16.195181412782301</v>
      </c>
      <c r="S98">
        <f t="shared" si="12"/>
        <v>0.69729253305034911</v>
      </c>
      <c r="U98">
        <v>1.5644383051535899</v>
      </c>
      <c r="V98">
        <v>1.19279422058778</v>
      </c>
    </row>
    <row r="99" spans="1:22">
      <c r="A99">
        <v>1783</v>
      </c>
      <c r="B99">
        <v>12.677</v>
      </c>
      <c r="C99">
        <v>8.0540000000000003</v>
      </c>
      <c r="D99" s="3">
        <f t="shared" si="11"/>
        <v>0.6353238147826773</v>
      </c>
      <c r="E99">
        <v>231.8</v>
      </c>
      <c r="F99">
        <f t="shared" si="16"/>
        <v>129.56</v>
      </c>
      <c r="G99" s="3">
        <f t="shared" si="8"/>
        <v>1.7891324482865083</v>
      </c>
      <c r="H99" s="3">
        <v>0.57786097766879996</v>
      </c>
      <c r="I99">
        <f>(32.25+31.25)/2</f>
        <v>31.75</v>
      </c>
      <c r="J99">
        <f t="shared" si="15"/>
        <v>30.737500000000001</v>
      </c>
      <c r="K99">
        <v>31</v>
      </c>
      <c r="L99">
        <v>7145</v>
      </c>
      <c r="M99" s="4">
        <v>7617.1674712291497</v>
      </c>
      <c r="N99">
        <v>129</v>
      </c>
      <c r="P99">
        <v>118</v>
      </c>
      <c r="Q99">
        <f t="shared" si="10"/>
        <v>1.664266940156216</v>
      </c>
      <c r="R99" s="2">
        <v>16.3564904550588</v>
      </c>
      <c r="S99">
        <f t="shared" si="12"/>
        <v>0.7042377834816983</v>
      </c>
      <c r="U99">
        <v>1.4293959037683099</v>
      </c>
      <c r="V99">
        <v>1.2043532751589201</v>
      </c>
    </row>
    <row r="100" spans="1:22">
      <c r="A100">
        <v>1784</v>
      </c>
      <c r="B100">
        <v>13.214</v>
      </c>
      <c r="C100">
        <v>8.6780000000000008</v>
      </c>
      <c r="D100" s="3">
        <f t="shared" si="11"/>
        <v>0.65672771303163313</v>
      </c>
      <c r="E100">
        <v>242.9</v>
      </c>
      <c r="F100">
        <f t="shared" si="16"/>
        <v>132.18</v>
      </c>
      <c r="G100" s="3">
        <f t="shared" si="8"/>
        <v>1.8376456347405052</v>
      </c>
      <c r="H100" s="3">
        <v>0.58373999374166696</v>
      </c>
      <c r="I100">
        <f>(31.5+28+5/8)/2</f>
        <v>30.0625</v>
      </c>
      <c r="J100">
        <f t="shared" si="15"/>
        <v>30.393750000000001</v>
      </c>
      <c r="K100">
        <v>31</v>
      </c>
      <c r="L100">
        <v>7217</v>
      </c>
      <c r="M100" s="4">
        <v>7676.6436488486097</v>
      </c>
      <c r="N100">
        <v>126</v>
      </c>
      <c r="P100">
        <v>118.4</v>
      </c>
      <c r="Q100">
        <f t="shared" si="10"/>
        <v>1.7213251786126502</v>
      </c>
      <c r="R100" s="2" t="e">
        <v>#NUM!</v>
      </c>
      <c r="S100" t="e">
        <f t="shared" si="12"/>
        <v>#NUM!</v>
      </c>
      <c r="U100">
        <v>1.4734071510311</v>
      </c>
      <c r="V100" t="e">
        <v>#NUM!</v>
      </c>
    </row>
    <row r="101" spans="1:22">
      <c r="A101">
        <v>1785</v>
      </c>
      <c r="B101">
        <v>15.526999999999999</v>
      </c>
      <c r="C101">
        <v>9.2289999999999992</v>
      </c>
      <c r="D101" s="3">
        <f t="shared" si="11"/>
        <v>0.59438397629934947</v>
      </c>
      <c r="E101">
        <v>245.05</v>
      </c>
      <c r="F101">
        <f t="shared" si="16"/>
        <v>134.80000000000001</v>
      </c>
      <c r="G101" s="3">
        <f t="shared" si="8"/>
        <v>1.8178783382789316</v>
      </c>
      <c r="H101" s="3">
        <v>0.61493770522591495</v>
      </c>
      <c r="I101">
        <f>(29+3/8+28+5/8)/2</f>
        <v>29</v>
      </c>
      <c r="J101">
        <f t="shared" si="15"/>
        <v>29.987500000000001</v>
      </c>
      <c r="K101">
        <v>31</v>
      </c>
      <c r="L101">
        <v>7289</v>
      </c>
      <c r="M101" s="4">
        <v>7735.7750037710803</v>
      </c>
      <c r="N101">
        <v>120</v>
      </c>
      <c r="P101">
        <v>119</v>
      </c>
      <c r="Q101">
        <f t="shared" ref="Q101:Q115" si="17">B101/M101*1000</f>
        <v>2.0071679944712466</v>
      </c>
      <c r="R101" s="2" t="e">
        <v>#NUM!</v>
      </c>
      <c r="S101" t="e">
        <f t="shared" si="12"/>
        <v>#NUM!</v>
      </c>
      <c r="U101">
        <v>1.7094181709943801</v>
      </c>
      <c r="V101" t="e">
        <v>#NUM!</v>
      </c>
    </row>
    <row r="102" spans="1:22">
      <c r="A102">
        <v>1786</v>
      </c>
      <c r="B102">
        <v>15.246</v>
      </c>
      <c r="C102">
        <v>9.4809999999999999</v>
      </c>
      <c r="D102" s="3">
        <f t="shared" si="11"/>
        <v>0.62186803095894005</v>
      </c>
      <c r="E102">
        <v>246.2</v>
      </c>
      <c r="F102">
        <f t="shared" si="16"/>
        <v>137.42000000000002</v>
      </c>
      <c r="G102" s="3">
        <f t="shared" si="8"/>
        <v>1.791587832920972</v>
      </c>
      <c r="H102" s="3">
        <v>0.61083809348529305</v>
      </c>
      <c r="I102">
        <f>(29.75+28+15/16)/2</f>
        <v>29.34375</v>
      </c>
      <c r="J102">
        <f t="shared" si="15"/>
        <v>29.443750000000001</v>
      </c>
      <c r="L102">
        <v>7371</v>
      </c>
      <c r="M102" s="4">
        <v>7805.1505341435504</v>
      </c>
      <c r="N102">
        <v>119</v>
      </c>
      <c r="P102">
        <v>120.4</v>
      </c>
      <c r="Q102">
        <f t="shared" si="17"/>
        <v>1.9533255551326691</v>
      </c>
      <c r="R102" s="2">
        <v>16.576666160376501</v>
      </c>
      <c r="S102">
        <f>R102*31/3/240</f>
        <v>0.71371757079398834</v>
      </c>
      <c r="U102">
        <v>1.64421913950955</v>
      </c>
      <c r="V102">
        <v>1.1663939100448799</v>
      </c>
    </row>
    <row r="103" spans="1:22">
      <c r="A103">
        <v>1787</v>
      </c>
      <c r="B103">
        <v>16.452999999999999</v>
      </c>
      <c r="C103">
        <v>9.2919999999999998</v>
      </c>
      <c r="D103" s="3">
        <f t="shared" si="11"/>
        <v>0.5647602260985839</v>
      </c>
      <c r="E103">
        <v>245.8</v>
      </c>
      <c r="F103">
        <f t="shared" si="16"/>
        <v>140.04000000000002</v>
      </c>
      <c r="G103" s="3">
        <f t="shared" si="8"/>
        <v>1.7552127963439015</v>
      </c>
      <c r="H103" s="3">
        <v>0.619023295356395</v>
      </c>
      <c r="I103">
        <f>(30+5/16+29.25)/2</f>
        <v>29.78125</v>
      </c>
      <c r="J103">
        <f>AVERAGEA(I101:I104)</f>
        <v>29.2890625</v>
      </c>
      <c r="L103">
        <v>7462</v>
      </c>
      <c r="M103" s="4">
        <v>7883.6418966915198</v>
      </c>
      <c r="N103">
        <v>117</v>
      </c>
      <c r="P103">
        <v>121</v>
      </c>
      <c r="Q103">
        <f t="shared" si="17"/>
        <v>2.0869796238340976</v>
      </c>
      <c r="R103" s="2">
        <v>16.7701203175512</v>
      </c>
      <c r="S103">
        <f>R103*31/3/240</f>
        <v>0.72204684700567667</v>
      </c>
      <c r="U103">
        <v>1.7480119320748999</v>
      </c>
      <c r="V103">
        <v>1.1556866559565799</v>
      </c>
    </row>
    <row r="104" spans="1:22">
      <c r="A104">
        <v>1788</v>
      </c>
      <c r="B104">
        <v>16.779</v>
      </c>
      <c r="C104">
        <v>9.407</v>
      </c>
      <c r="D104" s="3">
        <f t="shared" ref="D104:D115" si="18">C104/B104</f>
        <v>0.56064127778771078</v>
      </c>
      <c r="E104">
        <v>245.1</v>
      </c>
      <c r="F104">
        <f t="shared" si="16"/>
        <v>142.66000000000003</v>
      </c>
      <c r="G104" s="3">
        <f t="shared" si="8"/>
        <v>1.7180709378942938</v>
      </c>
      <c r="H104" s="3">
        <v>0.62601713362825595</v>
      </c>
      <c r="I104">
        <f>(29.5+28+9/16)/2</f>
        <v>29.03125</v>
      </c>
      <c r="J104">
        <f>AVERAGEA(I102:I104)</f>
        <v>29.385416666666668</v>
      </c>
      <c r="L104">
        <v>7543</v>
      </c>
      <c r="M104" s="4">
        <v>7951.1563355583903</v>
      </c>
      <c r="N104">
        <v>121</v>
      </c>
      <c r="P104">
        <v>121.6</v>
      </c>
      <c r="Q104">
        <f t="shared" si="17"/>
        <v>2.110259098410955</v>
      </c>
      <c r="R104" s="2">
        <v>16.927364612893399</v>
      </c>
      <c r="S104">
        <f>R104*31/3/240</f>
        <v>0.72881708749957697</v>
      </c>
      <c r="U104">
        <v>1.75878908107522</v>
      </c>
      <c r="V104">
        <v>1.1652130188062899</v>
      </c>
    </row>
    <row r="105" spans="1:22">
      <c r="A105">
        <v>1789</v>
      </c>
      <c r="B105">
        <v>16.669</v>
      </c>
      <c r="C105">
        <v>9.4250000000000007</v>
      </c>
      <c r="D105" s="3">
        <f t="shared" si="18"/>
        <v>0.56542084108224855</v>
      </c>
      <c r="E105">
        <v>244.3</v>
      </c>
      <c r="F105">
        <f t="shared" si="16"/>
        <v>145.28000000000003</v>
      </c>
      <c r="G105" s="3">
        <f t="shared" si="8"/>
        <v>1.6815803964757707</v>
      </c>
      <c r="H105" s="3">
        <v>0.63642992428608702</v>
      </c>
      <c r="L105">
        <v>7648</v>
      </c>
      <c r="M105" s="4">
        <v>8043.5240330954302</v>
      </c>
      <c r="N105">
        <v>117</v>
      </c>
      <c r="P105">
        <v>121.6</v>
      </c>
      <c r="Q105">
        <f t="shared" si="17"/>
        <v>2.0723503692429679</v>
      </c>
      <c r="R105" s="2">
        <v>4.62</v>
      </c>
      <c r="U105">
        <v>1.7271941650820699</v>
      </c>
      <c r="V105">
        <v>0.31553366954229201</v>
      </c>
    </row>
    <row r="106" spans="1:22">
      <c r="A106">
        <v>1790</v>
      </c>
      <c r="B106">
        <v>17.013999999999999</v>
      </c>
      <c r="C106">
        <v>9.3699999999999992</v>
      </c>
      <c r="D106" s="3">
        <f t="shared" si="18"/>
        <v>0.55072293405430817</v>
      </c>
      <c r="E106">
        <v>244</v>
      </c>
      <c r="F106">
        <v>147.9</v>
      </c>
      <c r="G106" s="3">
        <f t="shared" si="8"/>
        <v>1.6497633536173089</v>
      </c>
      <c r="L106">
        <v>7740</v>
      </c>
      <c r="M106" s="4">
        <v>8121.7476859155204</v>
      </c>
      <c r="N106">
        <v>124</v>
      </c>
      <c r="P106">
        <v>122.6</v>
      </c>
      <c r="Q106">
        <f t="shared" si="17"/>
        <v>2.0948693135967695</v>
      </c>
      <c r="R106" s="2">
        <v>5.13</v>
      </c>
      <c r="U106">
        <v>1.73172138155457</v>
      </c>
      <c r="V106">
        <v>0.34216019634584799</v>
      </c>
    </row>
    <row r="107" spans="1:22">
      <c r="A107">
        <v>1791</v>
      </c>
      <c r="B107">
        <v>18.506</v>
      </c>
      <c r="C107">
        <v>9.43</v>
      </c>
      <c r="D107" s="3">
        <f t="shared" si="18"/>
        <v>0.50956446557873125</v>
      </c>
      <c r="E107">
        <v>243.2</v>
      </c>
      <c r="L107">
        <v>7842</v>
      </c>
      <c r="M107" s="4">
        <v>8210</v>
      </c>
      <c r="N107">
        <v>121</v>
      </c>
      <c r="P107">
        <v>125.3</v>
      </c>
      <c r="Q107">
        <f t="shared" si="17"/>
        <v>2.2540803897685748</v>
      </c>
      <c r="R107" s="2">
        <v>8.48</v>
      </c>
      <c r="U107">
        <v>1.82318141033995</v>
      </c>
      <c r="V107">
        <v>0.55956058547973797</v>
      </c>
    </row>
    <row r="108" spans="1:22">
      <c r="A108">
        <v>1792</v>
      </c>
      <c r="B108">
        <v>18.606999999999999</v>
      </c>
      <c r="C108">
        <v>9.31</v>
      </c>
      <c r="D108" s="3">
        <f t="shared" si="18"/>
        <v>0.50034933089697431</v>
      </c>
      <c r="E108">
        <v>241.6</v>
      </c>
      <c r="L108">
        <v>7937</v>
      </c>
      <c r="M108" s="4">
        <v>8309.4580464167302</v>
      </c>
      <c r="N108">
        <v>122</v>
      </c>
      <c r="P108">
        <v>128.80000000000001</v>
      </c>
      <c r="Q108">
        <f t="shared" si="17"/>
        <v>2.2392555442317756</v>
      </c>
      <c r="R108" s="2">
        <v>11.411733409002199</v>
      </c>
      <c r="U108">
        <v>1.7619734070105999</v>
      </c>
      <c r="V108">
        <v>0.74071680504122905</v>
      </c>
    </row>
    <row r="109" spans="1:22">
      <c r="A109">
        <v>1793</v>
      </c>
      <c r="B109">
        <v>18.131</v>
      </c>
      <c r="C109">
        <v>9.1489999999999991</v>
      </c>
      <c r="D109" s="3">
        <f t="shared" si="18"/>
        <v>0.50460537201478128</v>
      </c>
      <c r="E109">
        <v>242.9</v>
      </c>
      <c r="L109">
        <v>8025</v>
      </c>
      <c r="M109" s="4">
        <v>8401.5876052027506</v>
      </c>
      <c r="N109">
        <v>129</v>
      </c>
      <c r="P109">
        <v>131.9</v>
      </c>
      <c r="Q109">
        <f t="shared" si="17"/>
        <v>2.1580445092035028</v>
      </c>
      <c r="R109" s="2">
        <v>7.2989571668532998</v>
      </c>
      <c r="U109">
        <v>1.6581627567080399</v>
      </c>
      <c r="V109">
        <v>0.470607440331067</v>
      </c>
    </row>
    <row r="110" spans="1:22">
      <c r="A110">
        <v>1794</v>
      </c>
      <c r="B110">
        <v>18.731999999999999</v>
      </c>
      <c r="C110">
        <v>9.7970000000000006</v>
      </c>
      <c r="D110" s="3">
        <f t="shared" si="18"/>
        <v>0.52300875507153544</v>
      </c>
      <c r="E110">
        <v>249.6</v>
      </c>
      <c r="L110">
        <v>8101</v>
      </c>
      <c r="M110" s="4">
        <v>8481.1540423361403</v>
      </c>
      <c r="N110">
        <v>136</v>
      </c>
      <c r="P110">
        <v>134.6</v>
      </c>
      <c r="Q110">
        <f t="shared" si="17"/>
        <v>2.2086616876068739</v>
      </c>
      <c r="R110" s="2">
        <v>6.5626008583096196</v>
      </c>
      <c r="U110">
        <v>1.66301318385496</v>
      </c>
      <c r="V110">
        <v>0.42772884064877797</v>
      </c>
    </row>
    <row r="111" spans="1:22">
      <c r="A111">
        <v>1795</v>
      </c>
      <c r="B111">
        <v>19.053000000000001</v>
      </c>
      <c r="C111">
        <v>10.47</v>
      </c>
      <c r="D111" s="3">
        <f t="shared" si="18"/>
        <v>0.54951976066761143</v>
      </c>
      <c r="E111">
        <v>267.39999999999998</v>
      </c>
      <c r="L111">
        <v>8198</v>
      </c>
      <c r="M111" s="4">
        <v>8582.7059423616392</v>
      </c>
      <c r="N111">
        <v>147</v>
      </c>
      <c r="P111">
        <v>138.9</v>
      </c>
      <c r="Q111">
        <f t="shared" si="17"/>
        <v>2.2199292540083611</v>
      </c>
      <c r="U111">
        <v>1.6197516942102399</v>
      </c>
      <c r="V111" t="e">
        <f ca="1">LOTUS_ERR(#REF!)</f>
        <v>#NAME?</v>
      </c>
    </row>
    <row r="112" spans="1:22">
      <c r="A112">
        <v>1796</v>
      </c>
      <c r="B112">
        <v>19.390999999999998</v>
      </c>
      <c r="C112">
        <v>11.602</v>
      </c>
      <c r="D112" s="3">
        <f t="shared" si="18"/>
        <v>0.59831880769429124</v>
      </c>
      <c r="E112">
        <v>310.39999999999998</v>
      </c>
      <c r="L112">
        <v>8285</v>
      </c>
      <c r="M112" s="4">
        <v>8673.7885743432798</v>
      </c>
      <c r="N112">
        <v>154</v>
      </c>
      <c r="P112">
        <v>147.69999999999999</v>
      </c>
      <c r="Q112">
        <f t="shared" si="17"/>
        <v>2.2355859649793404</v>
      </c>
      <c r="U112">
        <v>1.5339896642659401</v>
      </c>
      <c r="V112" t="e">
        <f ca="1">LOTUS_ERR(#REF!)</f>
        <v>#NAME?</v>
      </c>
    </row>
    <row r="113" spans="1:22">
      <c r="A113">
        <v>1797</v>
      </c>
      <c r="B113">
        <v>21.38</v>
      </c>
      <c r="C113">
        <v>13.593999999999999</v>
      </c>
      <c r="D113" s="3">
        <f t="shared" si="18"/>
        <v>0.6358278765201123</v>
      </c>
      <c r="E113">
        <v>359.2</v>
      </c>
      <c r="L113">
        <v>8399</v>
      </c>
      <c r="M113" s="4">
        <v>8793.1382300433597</v>
      </c>
      <c r="N113">
        <v>148</v>
      </c>
      <c r="P113">
        <v>158.374857142857</v>
      </c>
      <c r="Q113">
        <f t="shared" si="17"/>
        <v>2.4314413626469933</v>
      </c>
      <c r="R113" s="2">
        <v>8.8539068064025699</v>
      </c>
      <c r="U113">
        <v>1.5559266468253199</v>
      </c>
      <c r="V113">
        <v>0.55604851678108003</v>
      </c>
    </row>
    <row r="114" spans="1:22">
      <c r="A114">
        <v>1798</v>
      </c>
      <c r="B114">
        <v>26.946000000000002</v>
      </c>
      <c r="C114">
        <v>16.029</v>
      </c>
      <c r="D114" s="3">
        <f t="shared" si="18"/>
        <v>0.59485637942551761</v>
      </c>
      <c r="E114">
        <v>391.2</v>
      </c>
      <c r="L114">
        <v>8501</v>
      </c>
      <c r="M114" s="4">
        <v>8899.9247640907906</v>
      </c>
      <c r="N114">
        <v>148</v>
      </c>
      <c r="P114">
        <v>164.58857142857099</v>
      </c>
      <c r="Q114">
        <f t="shared" si="17"/>
        <v>3.0276660437311893</v>
      </c>
      <c r="R114" s="2">
        <v>14.384310956012399</v>
      </c>
      <c r="U114">
        <v>1.8643173817106</v>
      </c>
      <c r="V114">
        <v>0.88731286527575803</v>
      </c>
    </row>
    <row r="115" spans="1:22">
      <c r="A115">
        <v>1799</v>
      </c>
      <c r="B115">
        <v>31.783000000000001</v>
      </c>
      <c r="C115">
        <v>16.856000000000002</v>
      </c>
      <c r="D115" s="3">
        <f t="shared" si="18"/>
        <v>0.53034641160368756</v>
      </c>
      <c r="E115">
        <v>426.6</v>
      </c>
      <c r="L115">
        <v>8606</v>
      </c>
      <c r="M115" s="4">
        <v>9009.8520785513902</v>
      </c>
      <c r="N115">
        <v>160</v>
      </c>
      <c r="P115">
        <v>171.192571428571</v>
      </c>
      <c r="Q115">
        <f t="shared" si="17"/>
        <v>3.5275828862564516</v>
      </c>
      <c r="R115" s="2">
        <v>13.014484789936301</v>
      </c>
      <c r="U115">
        <v>2.0883527855036701</v>
      </c>
      <c r="V115">
        <v>0.79781826887700102</v>
      </c>
    </row>
    <row r="116" spans="1:22">
      <c r="A116">
        <v>1800</v>
      </c>
      <c r="B116">
        <f>9.674</f>
        <v>9.6739999999999995</v>
      </c>
      <c r="C116">
        <v>3.387</v>
      </c>
      <c r="L116">
        <v>8664</v>
      </c>
      <c r="M116" s="4">
        <v>9070.5738332058099</v>
      </c>
      <c r="N116">
        <v>212</v>
      </c>
      <c r="O116">
        <v>175</v>
      </c>
      <c r="P116">
        <v>176.85428571428599</v>
      </c>
      <c r="R116" s="2">
        <v>12.565997940902699</v>
      </c>
      <c r="V116">
        <v>0.77212660786074105</v>
      </c>
    </row>
    <row r="117" spans="1:22">
      <c r="A117">
        <v>1801</v>
      </c>
      <c r="B117">
        <v>31.585000000000001</v>
      </c>
      <c r="C117">
        <v>16.748999999999999</v>
      </c>
      <c r="D117" s="3">
        <f t="shared" ref="D117:D147" si="19">C117/B117</f>
        <v>0.53028336235554852</v>
      </c>
      <c r="E117">
        <v>456.1</v>
      </c>
      <c r="L117">
        <v>9061</v>
      </c>
      <c r="M117" s="4">
        <v>9160</v>
      </c>
      <c r="N117">
        <v>228</v>
      </c>
      <c r="O117">
        <v>188</v>
      </c>
      <c r="P117">
        <v>182.74857142857101</v>
      </c>
      <c r="Q117">
        <f>B117/M117*1000</f>
        <v>3.4481441048034935</v>
      </c>
      <c r="R117" s="2">
        <v>13.647289353493299</v>
      </c>
      <c r="U117">
        <v>1.9122425215702199</v>
      </c>
      <c r="V117">
        <v>0.82878326687453996</v>
      </c>
    </row>
    <row r="118" spans="1:22">
      <c r="A118">
        <v>1802</v>
      </c>
      <c r="B118">
        <v>35.9</v>
      </c>
      <c r="C118">
        <v>19.899999999999999</v>
      </c>
      <c r="D118" s="3">
        <f t="shared" si="19"/>
        <v>0.55431754874651806</v>
      </c>
      <c r="E118">
        <v>498.6</v>
      </c>
      <c r="L118">
        <v>9130</v>
      </c>
      <c r="N118">
        <v>174</v>
      </c>
      <c r="O118">
        <v>152</v>
      </c>
      <c r="P118">
        <v>187.45828571428601</v>
      </c>
      <c r="Q118">
        <f t="shared" ref="Q118:Q161" si="20">B118/L118*1000</f>
        <v>3.9320920043811611</v>
      </c>
      <c r="R118" s="2">
        <v>14.910953861004</v>
      </c>
      <c r="U118">
        <v>2.1258400474025301</v>
      </c>
      <c r="V118">
        <v>0.90403145180536904</v>
      </c>
    </row>
    <row r="119" spans="1:22">
      <c r="A119">
        <v>1803</v>
      </c>
      <c r="B119">
        <v>37.4</v>
      </c>
      <c r="C119">
        <v>20.399999999999999</v>
      </c>
      <c r="D119" s="3">
        <f t="shared" si="19"/>
        <v>0.54545454545454541</v>
      </c>
      <c r="E119">
        <v>516.4</v>
      </c>
      <c r="L119">
        <v>9235</v>
      </c>
      <c r="N119">
        <v>156</v>
      </c>
      <c r="O119">
        <v>161</v>
      </c>
      <c r="P119">
        <v>192.16228571428601</v>
      </c>
      <c r="Q119">
        <f t="shared" si="20"/>
        <v>4.04981050351922</v>
      </c>
      <c r="R119" s="2">
        <v>15.734423815074001</v>
      </c>
      <c r="U119">
        <v>2.1358861559985902</v>
      </c>
      <c r="V119">
        <v>0.93960513788470601</v>
      </c>
    </row>
    <row r="120" spans="1:22">
      <c r="A120">
        <v>1804</v>
      </c>
      <c r="B120">
        <v>39.1</v>
      </c>
      <c r="C120">
        <v>20.7</v>
      </c>
      <c r="D120" s="3">
        <f t="shared" si="19"/>
        <v>0.52941176470588236</v>
      </c>
      <c r="E120">
        <v>523.79999999999995</v>
      </c>
      <c r="L120">
        <v>9367</v>
      </c>
      <c r="N120">
        <v>161</v>
      </c>
      <c r="O120">
        <v>159</v>
      </c>
      <c r="P120">
        <v>200.25828571428599</v>
      </c>
      <c r="Q120">
        <f t="shared" si="20"/>
        <v>4.1742286751361162</v>
      </c>
      <c r="R120" s="2">
        <v>16.2428421640065</v>
      </c>
      <c r="U120">
        <v>2.1125028198462701</v>
      </c>
      <c r="V120">
        <v>0.95518193809698704</v>
      </c>
    </row>
    <row r="121" spans="1:22">
      <c r="A121">
        <v>1805</v>
      </c>
      <c r="B121">
        <v>46.5</v>
      </c>
      <c r="C121">
        <v>20.7</v>
      </c>
      <c r="D121" s="3">
        <f t="shared" si="19"/>
        <v>0.44516129032258062</v>
      </c>
      <c r="E121">
        <v>539.6</v>
      </c>
      <c r="L121">
        <v>9513</v>
      </c>
      <c r="N121">
        <v>187</v>
      </c>
      <c r="O121">
        <v>170</v>
      </c>
      <c r="P121">
        <v>209.21371428571399</v>
      </c>
      <c r="Q121">
        <f t="shared" si="20"/>
        <v>4.8880479344055505</v>
      </c>
      <c r="R121" s="2">
        <v>17.6428308127112</v>
      </c>
      <c r="U121">
        <v>2.3678645772690201</v>
      </c>
      <c r="V121">
        <v>1.03015346228241</v>
      </c>
    </row>
    <row r="122" spans="1:22">
      <c r="A122">
        <v>1806</v>
      </c>
      <c r="B122">
        <v>51.2</v>
      </c>
      <c r="C122">
        <v>22.3</v>
      </c>
      <c r="D122" s="3">
        <f t="shared" si="19"/>
        <v>0.435546875</v>
      </c>
      <c r="E122">
        <v>564.4</v>
      </c>
      <c r="L122">
        <v>9656</v>
      </c>
      <c r="N122">
        <v>184</v>
      </c>
      <c r="O122">
        <v>166</v>
      </c>
      <c r="P122">
        <v>211.39428571428601</v>
      </c>
      <c r="Q122">
        <f t="shared" si="20"/>
        <v>5.3024026512013256</v>
      </c>
      <c r="R122" s="2">
        <v>19.186146695780401</v>
      </c>
      <c r="U122">
        <v>2.54209054093459</v>
      </c>
      <c r="V122">
        <v>1.1133150852423299</v>
      </c>
    </row>
    <row r="123" spans="1:22">
      <c r="A123">
        <v>1807</v>
      </c>
      <c r="B123">
        <v>55.7</v>
      </c>
      <c r="C123">
        <v>23.2</v>
      </c>
      <c r="D123" s="3">
        <f t="shared" si="19"/>
        <v>0.41651705565529618</v>
      </c>
      <c r="E123">
        <v>583.1</v>
      </c>
      <c r="L123">
        <v>9794</v>
      </c>
      <c r="N123">
        <v>186</v>
      </c>
      <c r="O123">
        <v>161</v>
      </c>
      <c r="P123">
        <v>210.18285714285699</v>
      </c>
      <c r="Q123">
        <f t="shared" si="20"/>
        <v>5.6871554012660814</v>
      </c>
      <c r="R123" s="2">
        <v>19.934546710600301</v>
      </c>
      <c r="U123">
        <v>2.7422646065613399</v>
      </c>
      <c r="V123">
        <v>1.13642362335641</v>
      </c>
    </row>
    <row r="124" spans="1:22">
      <c r="A124">
        <v>1808</v>
      </c>
      <c r="B124">
        <v>59.8</v>
      </c>
      <c r="C124">
        <v>23.8</v>
      </c>
      <c r="D124" s="3">
        <f t="shared" si="19"/>
        <v>0.39799331103678931</v>
      </c>
      <c r="E124">
        <v>591.29999999999995</v>
      </c>
      <c r="L124">
        <v>9924</v>
      </c>
      <c r="N124">
        <v>204</v>
      </c>
      <c r="O124">
        <v>189</v>
      </c>
      <c r="P124">
        <v>215.51314285714301</v>
      </c>
      <c r="Q124">
        <f t="shared" si="20"/>
        <v>6.0257960499798466</v>
      </c>
      <c r="R124" s="2">
        <v>18.329024204398301</v>
      </c>
      <c r="U124">
        <v>2.8336892482602298</v>
      </c>
      <c r="V124">
        <v>1.0353749730549</v>
      </c>
    </row>
    <row r="125" spans="1:22">
      <c r="A125">
        <v>1809</v>
      </c>
      <c r="B125">
        <v>62.9</v>
      </c>
      <c r="C125">
        <v>23.1</v>
      </c>
      <c r="D125" s="3">
        <f t="shared" si="19"/>
        <v>0.36724960254372024</v>
      </c>
      <c r="E125">
        <v>599</v>
      </c>
      <c r="L125">
        <v>10056</v>
      </c>
      <c r="N125">
        <v>212</v>
      </c>
      <c r="O125">
        <v>206</v>
      </c>
      <c r="P125">
        <v>220.601142857143</v>
      </c>
      <c r="Q125">
        <f t="shared" si="20"/>
        <v>6.2549721559268097</v>
      </c>
      <c r="R125" s="2">
        <v>19.731636623392799</v>
      </c>
      <c r="U125">
        <v>2.8736189373045802</v>
      </c>
      <c r="V125">
        <v>1.1106262061668</v>
      </c>
    </row>
    <row r="126" spans="1:22">
      <c r="A126">
        <v>1810</v>
      </c>
      <c r="B126">
        <v>64.099999999999994</v>
      </c>
      <c r="C126">
        <v>24.2</v>
      </c>
      <c r="D126" s="3">
        <f t="shared" si="19"/>
        <v>0.37753510140405616</v>
      </c>
      <c r="E126">
        <v>607.4</v>
      </c>
      <c r="L126">
        <v>10186</v>
      </c>
      <c r="N126">
        <v>207</v>
      </c>
      <c r="O126">
        <v>193</v>
      </c>
      <c r="P126">
        <v>225.81028571428601</v>
      </c>
      <c r="Q126">
        <f t="shared" si="20"/>
        <v>6.2929511093657959</v>
      </c>
      <c r="R126" s="2">
        <v>18.949451903225899</v>
      </c>
      <c r="U126">
        <v>2.8243739141582198</v>
      </c>
      <c r="V126">
        <v>1.0748237221589401</v>
      </c>
    </row>
    <row r="127" spans="1:22">
      <c r="A127">
        <v>1811</v>
      </c>
      <c r="B127">
        <v>69.599999999999994</v>
      </c>
      <c r="C127">
        <v>24.4</v>
      </c>
      <c r="D127" s="3">
        <f t="shared" si="19"/>
        <v>0.35057471264367818</v>
      </c>
      <c r="E127">
        <v>609.6</v>
      </c>
      <c r="L127">
        <v>10322</v>
      </c>
      <c r="N127">
        <v>206</v>
      </c>
      <c r="O127">
        <v>178</v>
      </c>
      <c r="P127">
        <v>225.08342857142901</v>
      </c>
      <c r="Q127">
        <f t="shared" si="20"/>
        <v>6.7428792869598908</v>
      </c>
      <c r="R127" s="2">
        <v>20.645562188137301</v>
      </c>
      <c r="U127">
        <v>3.0360814424526801</v>
      </c>
      <c r="V127">
        <v>1.16384898225388</v>
      </c>
    </row>
    <row r="128" spans="1:22">
      <c r="A128">
        <v>1812</v>
      </c>
      <c r="B128">
        <v>67.5</v>
      </c>
      <c r="C128">
        <v>24.6</v>
      </c>
      <c r="D128" s="3">
        <f t="shared" si="19"/>
        <v>0.36444444444444446</v>
      </c>
      <c r="E128">
        <v>626</v>
      </c>
      <c r="L128">
        <v>10480</v>
      </c>
      <c r="N128">
        <v>237</v>
      </c>
      <c r="O128">
        <v>196</v>
      </c>
      <c r="P128">
        <v>222.41828571428599</v>
      </c>
      <c r="Q128">
        <f t="shared" si="20"/>
        <v>6.4408396946564892</v>
      </c>
      <c r="R128" s="2">
        <v>23.569193640535399</v>
      </c>
      <c r="U128">
        <v>2.93483409217977</v>
      </c>
      <c r="V128">
        <v>1.30075210820913</v>
      </c>
    </row>
    <row r="129" spans="1:22">
      <c r="A129">
        <v>1813</v>
      </c>
      <c r="B129">
        <v>64.7</v>
      </c>
      <c r="C129">
        <v>26.4</v>
      </c>
      <c r="D129" s="3">
        <f t="shared" si="19"/>
        <v>0.40803709428129825</v>
      </c>
      <c r="E129">
        <v>652.29999999999995</v>
      </c>
      <c r="L129">
        <v>10650</v>
      </c>
      <c r="N129">
        <v>243</v>
      </c>
      <c r="O129">
        <v>203</v>
      </c>
      <c r="P129">
        <v>222.41828571428599</v>
      </c>
      <c r="Q129">
        <f t="shared" si="20"/>
        <v>6.075117370892019</v>
      </c>
      <c r="R129" s="2">
        <v>23.416551292005099</v>
      </c>
      <c r="U129">
        <v>2.7681889969842399</v>
      </c>
      <c r="V129">
        <v>1.2893615607055</v>
      </c>
    </row>
    <row r="130" spans="1:22">
      <c r="A130">
        <v>1814</v>
      </c>
      <c r="B130">
        <v>72.8</v>
      </c>
      <c r="C130">
        <v>27.3</v>
      </c>
      <c r="D130" s="3">
        <f t="shared" si="19"/>
        <v>0.375</v>
      </c>
      <c r="E130">
        <v>725.5</v>
      </c>
      <c r="L130">
        <v>10820</v>
      </c>
      <c r="N130">
        <v>209</v>
      </c>
      <c r="O130">
        <v>202</v>
      </c>
      <c r="P130">
        <v>218.90514285714301</v>
      </c>
      <c r="Q130">
        <f t="shared" si="20"/>
        <v>6.7282809611829943</v>
      </c>
      <c r="R130" s="2">
        <v>23.331833674165001</v>
      </c>
      <c r="U130">
        <v>3.1150118851914401</v>
      </c>
      <c r="V130">
        <v>1.29373490958461</v>
      </c>
    </row>
    <row r="131" spans="1:22">
      <c r="A131">
        <v>1815</v>
      </c>
      <c r="B131">
        <v>74.3</v>
      </c>
      <c r="C131">
        <v>30</v>
      </c>
      <c r="D131" s="3">
        <f t="shared" si="19"/>
        <v>0.40376850605652759</v>
      </c>
      <c r="E131">
        <v>744.9</v>
      </c>
      <c r="L131">
        <v>11004</v>
      </c>
      <c r="N131">
        <v>191</v>
      </c>
      <c r="O131">
        <v>164</v>
      </c>
      <c r="P131">
        <v>211.757714285714</v>
      </c>
      <c r="Q131">
        <f t="shared" si="20"/>
        <v>6.7520901490367145</v>
      </c>
      <c r="R131" s="2">
        <v>23.925017018379901</v>
      </c>
      <c r="U131">
        <v>3.2315475138561802</v>
      </c>
      <c r="V131">
        <v>1.3379215539942699</v>
      </c>
    </row>
    <row r="132" spans="1:22">
      <c r="A132">
        <v>1816</v>
      </c>
      <c r="B132">
        <v>78.599999999999994</v>
      </c>
      <c r="C132">
        <v>32.200000000000003</v>
      </c>
      <c r="D132" s="3">
        <f t="shared" si="19"/>
        <v>0.40966921119592881</v>
      </c>
      <c r="E132">
        <v>778.3</v>
      </c>
      <c r="L132">
        <v>11196</v>
      </c>
      <c r="N132">
        <v>172</v>
      </c>
      <c r="O132">
        <v>144</v>
      </c>
      <c r="P132">
        <v>204.36799999999999</v>
      </c>
      <c r="Q132">
        <f t="shared" si="20"/>
        <v>7.020364415862808</v>
      </c>
      <c r="R132" s="2">
        <v>27.952103120759801</v>
      </c>
      <c r="U132">
        <v>3.4814351971679298</v>
      </c>
      <c r="V132">
        <v>1.59167736391603</v>
      </c>
    </row>
    <row r="133" spans="1:22">
      <c r="A133">
        <v>1817</v>
      </c>
      <c r="B133">
        <v>65.2</v>
      </c>
      <c r="C133">
        <v>32.9</v>
      </c>
      <c r="D133" s="3">
        <f t="shared" si="19"/>
        <v>0.504601226993865</v>
      </c>
      <c r="E133">
        <v>766.1</v>
      </c>
      <c r="L133">
        <v>11378</v>
      </c>
      <c r="N133">
        <v>189</v>
      </c>
      <c r="O133">
        <v>161</v>
      </c>
      <c r="P133">
        <v>197.46285714285699</v>
      </c>
      <c r="Q133">
        <f t="shared" si="20"/>
        <v>5.7303568289681843</v>
      </c>
      <c r="R133" s="2">
        <v>29.193097643097602</v>
      </c>
      <c r="U133">
        <v>2.9410865423814299</v>
      </c>
      <c r="V133">
        <v>1.7123585694466701</v>
      </c>
    </row>
    <row r="134" spans="1:22">
      <c r="A134">
        <v>1818</v>
      </c>
      <c r="B134">
        <v>57.6</v>
      </c>
      <c r="C134">
        <v>31.5</v>
      </c>
      <c r="D134" s="3">
        <f t="shared" si="19"/>
        <v>0.546875</v>
      </c>
      <c r="E134">
        <v>843.3</v>
      </c>
      <c r="L134">
        <v>11555</v>
      </c>
      <c r="N134">
        <v>194</v>
      </c>
      <c r="O134">
        <v>160</v>
      </c>
      <c r="P134">
        <v>187.771428571429</v>
      </c>
      <c r="Q134">
        <f t="shared" si="20"/>
        <v>4.9848550411077452</v>
      </c>
      <c r="R134" s="2">
        <v>29.709270414993298</v>
      </c>
      <c r="U134">
        <v>2.69050979512128</v>
      </c>
      <c r="V134">
        <v>1.76648648091723</v>
      </c>
    </row>
    <row r="135" spans="1:22">
      <c r="A135">
        <v>1819</v>
      </c>
      <c r="B135">
        <v>59.5</v>
      </c>
      <c r="C135">
        <v>31.3</v>
      </c>
      <c r="D135" s="3">
        <f t="shared" si="19"/>
        <v>0.52605042016806725</v>
      </c>
      <c r="E135">
        <v>844.3</v>
      </c>
      <c r="L135">
        <v>11723</v>
      </c>
      <c r="N135">
        <v>192</v>
      </c>
      <c r="O135">
        <v>147</v>
      </c>
      <c r="P135">
        <v>177.716571428571</v>
      </c>
      <c r="Q135">
        <f t="shared" si="20"/>
        <v>5.0754926213426597</v>
      </c>
      <c r="R135" s="2">
        <v>28.431669993346599</v>
      </c>
      <c r="U135">
        <v>2.8944218561914199</v>
      </c>
      <c r="V135">
        <v>1.7039266878369901</v>
      </c>
    </row>
    <row r="136" spans="1:22">
      <c r="A136">
        <v>1820</v>
      </c>
      <c r="B136">
        <v>58.1</v>
      </c>
      <c r="C136">
        <v>31.1</v>
      </c>
      <c r="D136" s="3">
        <f t="shared" si="19"/>
        <v>0.53528399311531838</v>
      </c>
      <c r="E136">
        <v>840.1</v>
      </c>
      <c r="L136">
        <v>11903</v>
      </c>
      <c r="N136">
        <v>162</v>
      </c>
      <c r="O136">
        <v>132</v>
      </c>
      <c r="P136">
        <v>168.02514285714301</v>
      </c>
      <c r="Q136">
        <f t="shared" si="20"/>
        <v>4.8811224061161047</v>
      </c>
      <c r="R136" s="2">
        <v>29.009190082644601</v>
      </c>
      <c r="U136">
        <v>2.94412998047369</v>
      </c>
      <c r="V136">
        <v>1.7241171004065401</v>
      </c>
    </row>
    <row r="137" spans="1:22">
      <c r="A137">
        <v>1821</v>
      </c>
      <c r="B137">
        <v>59.9</v>
      </c>
      <c r="C137">
        <v>32</v>
      </c>
      <c r="D137" s="3">
        <f t="shared" si="19"/>
        <v>0.53422370617696158</v>
      </c>
      <c r="E137">
        <v>838.3</v>
      </c>
      <c r="L137">
        <v>12106</v>
      </c>
      <c r="N137">
        <v>139</v>
      </c>
      <c r="O137">
        <v>121</v>
      </c>
      <c r="P137">
        <v>164.269714285714</v>
      </c>
      <c r="Q137">
        <f t="shared" si="20"/>
        <v>4.9479596894102098</v>
      </c>
      <c r="R137" s="2">
        <v>28.5025287356322</v>
      </c>
      <c r="U137">
        <v>3.0526724365039599</v>
      </c>
      <c r="V137">
        <v>1.71003081161395</v>
      </c>
    </row>
    <row r="138" spans="1:22">
      <c r="A138">
        <v>1822</v>
      </c>
      <c r="B138">
        <v>61.6</v>
      </c>
      <c r="C138">
        <v>31.9</v>
      </c>
      <c r="D138" s="3">
        <f t="shared" si="19"/>
        <v>0.51785714285714279</v>
      </c>
      <c r="E138">
        <v>831.1</v>
      </c>
      <c r="L138">
        <v>12320</v>
      </c>
      <c r="N138">
        <v>125</v>
      </c>
      <c r="O138">
        <v>116</v>
      </c>
      <c r="P138">
        <v>160.99885714285699</v>
      </c>
      <c r="Q138">
        <f t="shared" si="20"/>
        <v>5</v>
      </c>
      <c r="R138" s="2">
        <v>28.369739413680801</v>
      </c>
      <c r="U138">
        <v>3.1474494619277502</v>
      </c>
      <c r="V138">
        <v>1.7368154335955901</v>
      </c>
    </row>
    <row r="139" spans="1:22">
      <c r="A139">
        <v>1823</v>
      </c>
      <c r="B139">
        <v>59.9</v>
      </c>
      <c r="C139">
        <v>31.4</v>
      </c>
      <c r="D139" s="3">
        <f t="shared" si="19"/>
        <v>0.52420701168614359</v>
      </c>
      <c r="E139">
        <v>836.1</v>
      </c>
      <c r="L139">
        <v>12529</v>
      </c>
      <c r="N139">
        <v>128</v>
      </c>
      <c r="O139">
        <v>120</v>
      </c>
      <c r="P139">
        <v>155.668571428571</v>
      </c>
      <c r="Q139">
        <f t="shared" si="20"/>
        <v>4.7809082927607953</v>
      </c>
      <c r="R139" s="2">
        <v>27.745281189398799</v>
      </c>
      <c r="U139">
        <v>3.1125836192097101</v>
      </c>
      <c r="V139">
        <v>1.7162971160960701</v>
      </c>
    </row>
    <row r="140" spans="1:22">
      <c r="A140">
        <v>1824</v>
      </c>
      <c r="B140">
        <v>58.5</v>
      </c>
      <c r="C140">
        <v>30</v>
      </c>
      <c r="D140" s="3">
        <f t="shared" si="19"/>
        <v>0.51282051282051277</v>
      </c>
      <c r="E140">
        <v>828.6</v>
      </c>
      <c r="L140">
        <v>12721</v>
      </c>
      <c r="O140">
        <v>122</v>
      </c>
      <c r="P140">
        <v>149.85371428571401</v>
      </c>
      <c r="Q140">
        <f t="shared" si="20"/>
        <v>4.5986950711422061</v>
      </c>
      <c r="R140" s="2">
        <v>28.899743507534499</v>
      </c>
      <c r="U140">
        <v>3.11013081243284</v>
      </c>
      <c r="V140">
        <v>1.7676934667859501</v>
      </c>
    </row>
    <row r="141" spans="1:22">
      <c r="A141">
        <v>1825</v>
      </c>
      <c r="B141">
        <v>59.7</v>
      </c>
      <c r="C141">
        <v>30.2</v>
      </c>
      <c r="D141" s="3">
        <f t="shared" si="19"/>
        <v>0.50586264656616409</v>
      </c>
      <c r="E141">
        <v>820.2</v>
      </c>
      <c r="L141">
        <v>12903</v>
      </c>
      <c r="O141">
        <v>133</v>
      </c>
      <c r="P141">
        <v>145.37142857142899</v>
      </c>
      <c r="Q141">
        <f t="shared" si="20"/>
        <v>4.6268309695419667</v>
      </c>
      <c r="R141" s="2">
        <v>29.122285896211402</v>
      </c>
      <c r="U141">
        <v>3.2256417369816899</v>
      </c>
      <c r="V141">
        <v>1.7654517500482401</v>
      </c>
    </row>
    <row r="142" spans="1:22">
      <c r="A142">
        <v>1826</v>
      </c>
      <c r="B142">
        <v>57.7</v>
      </c>
      <c r="C142">
        <v>29.2</v>
      </c>
      <c r="D142" s="3">
        <f t="shared" si="19"/>
        <v>0.5060658578856152</v>
      </c>
      <c r="E142">
        <v>811</v>
      </c>
      <c r="L142">
        <v>13074</v>
      </c>
      <c r="O142">
        <v>117</v>
      </c>
      <c r="P142">
        <v>142.58514285714301</v>
      </c>
      <c r="Q142">
        <f t="shared" si="20"/>
        <v>4.4133394523481728</v>
      </c>
      <c r="R142" s="2">
        <v>29.1997784810127</v>
      </c>
      <c r="U142">
        <v>3.13692844071885</v>
      </c>
      <c r="V142">
        <v>1.75932408678795</v>
      </c>
    </row>
    <row r="143" spans="1:22">
      <c r="A143">
        <v>1827</v>
      </c>
      <c r="B143">
        <v>55.2</v>
      </c>
      <c r="C143">
        <v>29.2</v>
      </c>
      <c r="D143" s="3">
        <f t="shared" si="19"/>
        <v>0.52898550724637672</v>
      </c>
      <c r="E143">
        <v>810</v>
      </c>
      <c r="L143">
        <v>13247</v>
      </c>
      <c r="O143">
        <v>117</v>
      </c>
      <c r="P143">
        <v>141.494857142857</v>
      </c>
      <c r="Q143">
        <f t="shared" si="20"/>
        <v>4.1669812032913107</v>
      </c>
      <c r="R143" s="2">
        <v>28.136037735849101</v>
      </c>
      <c r="U143">
        <v>2.9846433372687802</v>
      </c>
      <c r="V143">
        <v>1.6920909708670699</v>
      </c>
    </row>
    <row r="144" spans="1:22">
      <c r="A144">
        <v>1828</v>
      </c>
      <c r="B144">
        <v>54.7</v>
      </c>
      <c r="C144">
        <v>29.4</v>
      </c>
      <c r="D144" s="3">
        <f t="shared" si="19"/>
        <v>0.53747714808043867</v>
      </c>
      <c r="E144">
        <v>806.4</v>
      </c>
      <c r="L144">
        <v>13348</v>
      </c>
      <c r="O144">
        <v>112</v>
      </c>
      <c r="P144">
        <v>140.64685714285699</v>
      </c>
      <c r="Q144">
        <f t="shared" si="20"/>
        <v>4.097992208570572</v>
      </c>
      <c r="R144" s="2">
        <v>28.697156249999999</v>
      </c>
      <c r="U144">
        <v>2.9529265910746099</v>
      </c>
      <c r="V144">
        <v>1.7290404530216701</v>
      </c>
    </row>
    <row r="145" spans="1:22">
      <c r="A145">
        <v>1829</v>
      </c>
      <c r="B145">
        <v>56.5</v>
      </c>
      <c r="C145">
        <v>29.3</v>
      </c>
      <c r="D145" s="3">
        <f t="shared" si="19"/>
        <v>0.51858407079646018</v>
      </c>
      <c r="E145">
        <v>801.3</v>
      </c>
      <c r="L145">
        <v>13625</v>
      </c>
      <c r="O145">
        <v>110</v>
      </c>
      <c r="P145">
        <v>139.072</v>
      </c>
      <c r="Q145">
        <f t="shared" si="20"/>
        <v>4.1467889908256881</v>
      </c>
      <c r="R145" s="2">
        <v>28.2353159851301</v>
      </c>
      <c r="U145">
        <v>3.0219257605979202</v>
      </c>
      <c r="V145">
        <v>1.6978764534731401</v>
      </c>
    </row>
    <row r="146" spans="1:22">
      <c r="A146">
        <v>1830</v>
      </c>
      <c r="B146">
        <v>55.3</v>
      </c>
      <c r="C146">
        <v>29.1</v>
      </c>
      <c r="D146" s="3">
        <f t="shared" si="19"/>
        <v>0.52622061482820981</v>
      </c>
      <c r="E146">
        <v>798.2</v>
      </c>
      <c r="L146">
        <v>13805</v>
      </c>
      <c r="O146">
        <v>109</v>
      </c>
      <c r="P146">
        <v>137.86057142857101</v>
      </c>
      <c r="Q146">
        <f t="shared" si="20"/>
        <v>4.0057950018109381</v>
      </c>
      <c r="R146" s="2">
        <v>27.967253629904199</v>
      </c>
      <c r="U146">
        <v>2.94482980708678</v>
      </c>
      <c r="V146">
        <v>1.68949094852422</v>
      </c>
    </row>
    <row r="147" spans="1:22">
      <c r="A147">
        <v>1831</v>
      </c>
      <c r="B147">
        <v>54.5</v>
      </c>
      <c r="C147">
        <v>29.2</v>
      </c>
      <c r="D147" s="3">
        <f t="shared" si="19"/>
        <v>0.5357798165137615</v>
      </c>
      <c r="E147">
        <v>786.2</v>
      </c>
      <c r="L147">
        <v>13994</v>
      </c>
      <c r="O147">
        <v>112</v>
      </c>
      <c r="P147">
        <v>135.316571428571</v>
      </c>
      <c r="Q147">
        <f t="shared" si="20"/>
        <v>3.8945262255252251</v>
      </c>
      <c r="R147" s="2">
        <v>28.9574147988947</v>
      </c>
      <c r="U147">
        <v>2.9168574260711799</v>
      </c>
      <c r="V147">
        <v>1.7493062008449101</v>
      </c>
    </row>
    <row r="148" spans="1:22">
      <c r="A148">
        <v>1832</v>
      </c>
      <c r="B148">
        <v>50.6</v>
      </c>
      <c r="C148">
        <v>28.3</v>
      </c>
      <c r="E148">
        <v>784.2</v>
      </c>
      <c r="L148">
        <v>14165</v>
      </c>
      <c r="O148">
        <v>109</v>
      </c>
      <c r="P148">
        <v>136.04342857142899</v>
      </c>
      <c r="Q148">
        <f t="shared" si="20"/>
        <v>3.5721849629368161</v>
      </c>
      <c r="R148" s="2">
        <v>27.942529789184199</v>
      </c>
      <c r="U148">
        <v>2.6611412304359798</v>
      </c>
      <c r="V148">
        <v>1.70366672240217</v>
      </c>
    </row>
    <row r="149" spans="1:22">
      <c r="A149">
        <v>1833</v>
      </c>
      <c r="B149">
        <v>51.1</v>
      </c>
      <c r="C149">
        <v>28.3</v>
      </c>
      <c r="E149">
        <v>783</v>
      </c>
      <c r="L149">
        <v>14328</v>
      </c>
      <c r="O149">
        <v>107</v>
      </c>
      <c r="P149">
        <v>136.16457142857101</v>
      </c>
      <c r="Q149">
        <f t="shared" si="20"/>
        <v>3.5664433277498606</v>
      </c>
      <c r="R149" s="2">
        <v>28.162541806020101</v>
      </c>
      <c r="U149">
        <v>2.6545001737817602</v>
      </c>
      <c r="V149">
        <v>1.7266213377644499</v>
      </c>
    </row>
    <row r="150" spans="1:22">
      <c r="A150">
        <v>1834</v>
      </c>
      <c r="B150">
        <v>50.2</v>
      </c>
      <c r="C150">
        <v>28.5</v>
      </c>
      <c r="E150">
        <v>781.3</v>
      </c>
      <c r="L150">
        <v>14520</v>
      </c>
      <c r="O150">
        <v>112</v>
      </c>
      <c r="P150">
        <v>137.01257142857099</v>
      </c>
      <c r="Q150">
        <f t="shared" si="20"/>
        <v>3.4573002754820936</v>
      </c>
      <c r="R150" s="2">
        <v>28.464862413063202</v>
      </c>
      <c r="U150">
        <v>2.5573386239058</v>
      </c>
      <c r="V150">
        <v>1.7671499991967301</v>
      </c>
    </row>
    <row r="151" spans="1:22">
      <c r="A151">
        <v>1835</v>
      </c>
      <c r="B151">
        <v>50.4</v>
      </c>
      <c r="C151">
        <v>28.5</v>
      </c>
      <c r="E151">
        <v>774.9</v>
      </c>
      <c r="L151">
        <v>14724</v>
      </c>
      <c r="O151">
        <v>112</v>
      </c>
      <c r="P151">
        <v>139.43542857142899</v>
      </c>
      <c r="Q151">
        <f t="shared" si="20"/>
        <v>3.4229828850855744</v>
      </c>
      <c r="R151" s="2">
        <v>28.706464221286801</v>
      </c>
      <c r="U151">
        <v>2.4879585812964899</v>
      </c>
      <c r="V151">
        <v>1.80633654555698</v>
      </c>
    </row>
    <row r="152" spans="1:22">
      <c r="A152">
        <v>1836</v>
      </c>
      <c r="B152">
        <v>50</v>
      </c>
      <c r="C152">
        <v>28.6</v>
      </c>
      <c r="E152">
        <v>790.4</v>
      </c>
      <c r="L152">
        <v>14928</v>
      </c>
      <c r="O152">
        <v>123</v>
      </c>
      <c r="P152">
        <v>141.737142857143</v>
      </c>
      <c r="Q152">
        <f t="shared" si="20"/>
        <v>3.34941050375134</v>
      </c>
      <c r="R152" s="2">
        <v>29.340638044126401</v>
      </c>
      <c r="U152">
        <v>2.39494893717879</v>
      </c>
      <c r="V152">
        <v>1.8519443816715899</v>
      </c>
    </row>
    <row r="153" spans="1:22">
      <c r="A153">
        <v>1837</v>
      </c>
      <c r="B153">
        <v>52.6</v>
      </c>
      <c r="C153">
        <v>29.4</v>
      </c>
      <c r="E153">
        <v>790.9</v>
      </c>
      <c r="L153">
        <v>15104</v>
      </c>
      <c r="O153">
        <v>118</v>
      </c>
      <c r="P153">
        <v>142.82742857142901</v>
      </c>
      <c r="Q153">
        <f t="shared" si="20"/>
        <v>3.4825211864406782</v>
      </c>
      <c r="R153" s="2">
        <v>30.1225883051351</v>
      </c>
      <c r="U153">
        <v>2.4711192516263201</v>
      </c>
      <c r="V153">
        <v>1.90108261399677</v>
      </c>
    </row>
    <row r="154" spans="1:22">
      <c r="A154">
        <v>1838</v>
      </c>
      <c r="B154">
        <v>50.4</v>
      </c>
      <c r="C154">
        <v>29.6</v>
      </c>
      <c r="E154">
        <v>788.9</v>
      </c>
      <c r="L154">
        <v>15288</v>
      </c>
      <c r="O154">
        <v>119</v>
      </c>
      <c r="P154">
        <v>143.06971428571401</v>
      </c>
      <c r="Q154">
        <f t="shared" si="20"/>
        <v>3.2967032967032965</v>
      </c>
      <c r="R154" s="2">
        <v>30.812163361941401</v>
      </c>
      <c r="U154">
        <v>2.3353055251567301</v>
      </c>
      <c r="V154">
        <v>1.95601395051256</v>
      </c>
    </row>
    <row r="155" spans="1:22">
      <c r="A155">
        <v>1839</v>
      </c>
      <c r="B155">
        <v>51.3</v>
      </c>
      <c r="C155">
        <v>29.4</v>
      </c>
      <c r="E155">
        <v>788.2</v>
      </c>
      <c r="L155">
        <v>15514</v>
      </c>
      <c r="O155">
        <v>130</v>
      </c>
      <c r="P155">
        <v>142.82742857142901</v>
      </c>
      <c r="Q155">
        <f t="shared" si="20"/>
        <v>3.3066907309526878</v>
      </c>
      <c r="R155" s="2">
        <v>31.0477607542723</v>
      </c>
      <c r="U155">
        <v>2.34635388759341</v>
      </c>
      <c r="V155">
        <v>1.98352261118713</v>
      </c>
    </row>
    <row r="156" spans="1:22">
      <c r="A156">
        <v>1840</v>
      </c>
      <c r="B156">
        <v>51.8</v>
      </c>
      <c r="C156">
        <v>29.6</v>
      </c>
      <c r="E156">
        <v>788.7</v>
      </c>
      <c r="L156">
        <v>15731</v>
      </c>
      <c r="O156">
        <v>128</v>
      </c>
      <c r="P156">
        <v>142.34285714285701</v>
      </c>
      <c r="Q156">
        <f t="shared" si="20"/>
        <v>3.2928612294196173</v>
      </c>
      <c r="R156" s="2">
        <v>31.782893192488299</v>
      </c>
      <c r="U156">
        <v>2.3444949635742698</v>
      </c>
      <c r="V156">
        <v>2.0363824487382902</v>
      </c>
    </row>
    <row r="157" spans="1:22">
      <c r="A157">
        <v>1841</v>
      </c>
      <c r="B157">
        <v>51.6</v>
      </c>
      <c r="C157">
        <v>29.5</v>
      </c>
      <c r="E157">
        <v>790.2</v>
      </c>
      <c r="L157">
        <v>15929</v>
      </c>
      <c r="O157">
        <v>121</v>
      </c>
      <c r="P157">
        <v>142.10057142857099</v>
      </c>
      <c r="Q157">
        <f t="shared" si="20"/>
        <v>3.2393747253437128</v>
      </c>
      <c r="R157" s="2">
        <v>32.709611451942699</v>
      </c>
      <c r="U157">
        <v>2.31034543665759</v>
      </c>
      <c r="V157">
        <v>2.08969189216476</v>
      </c>
    </row>
    <row r="158" spans="1:22">
      <c r="A158">
        <v>1842</v>
      </c>
      <c r="B158">
        <v>52.2</v>
      </c>
      <c r="C158">
        <v>29.7</v>
      </c>
      <c r="E158">
        <v>793.9</v>
      </c>
      <c r="L158">
        <v>16130</v>
      </c>
      <c r="O158">
        <v>111</v>
      </c>
      <c r="P158">
        <v>140.40457142857099</v>
      </c>
      <c r="Q158">
        <f t="shared" si="20"/>
        <v>3.2362058276503411</v>
      </c>
      <c r="R158" s="2">
        <v>33.691988388969499</v>
      </c>
      <c r="U158">
        <v>2.3359655932079399</v>
      </c>
      <c r="V158">
        <v>2.1251374363807001</v>
      </c>
    </row>
    <row r="159" spans="1:22">
      <c r="A159">
        <v>1843</v>
      </c>
      <c r="B159">
        <v>51.1</v>
      </c>
      <c r="C159">
        <v>29.6</v>
      </c>
      <c r="E159">
        <v>793.5</v>
      </c>
      <c r="L159">
        <v>16332</v>
      </c>
      <c r="O159">
        <v>105</v>
      </c>
      <c r="P159">
        <v>140.041142857143</v>
      </c>
      <c r="Q159">
        <f t="shared" si="20"/>
        <v>3.1288268430075923</v>
      </c>
      <c r="R159" s="2">
        <v>34.049076745527998</v>
      </c>
      <c r="U159">
        <v>2.2643180932659801</v>
      </c>
      <c r="V159">
        <v>2.17501334922658</v>
      </c>
    </row>
    <row r="160" spans="1:22">
      <c r="A160">
        <v>1844</v>
      </c>
      <c r="B160">
        <v>56.7</v>
      </c>
      <c r="C160">
        <f>29+0.4</f>
        <v>29.4</v>
      </c>
      <c r="E160">
        <v>794.5</v>
      </c>
      <c r="L160">
        <v>16535</v>
      </c>
      <c r="O160">
        <v>108</v>
      </c>
      <c r="P160">
        <v>137.73942857142899</v>
      </c>
      <c r="Q160">
        <f t="shared" si="20"/>
        <v>3.4290898094950109</v>
      </c>
      <c r="R160" s="2">
        <v>34.534899713466999</v>
      </c>
      <c r="U160">
        <v>2.52308648336574</v>
      </c>
      <c r="V160">
        <v>2.2145082549546902</v>
      </c>
    </row>
    <row r="161" spans="1:22">
      <c r="A161">
        <v>1845</v>
      </c>
      <c r="B161">
        <v>58.2</v>
      </c>
      <c r="C161">
        <v>30.6</v>
      </c>
      <c r="E161">
        <v>789.9</v>
      </c>
      <c r="L161">
        <v>16739</v>
      </c>
      <c r="O161">
        <v>110</v>
      </c>
      <c r="P161">
        <v>133.49942857142901</v>
      </c>
      <c r="Q161">
        <f t="shared" si="20"/>
        <v>3.4769102096899456</v>
      </c>
      <c r="R161" s="2">
        <v>34.814505119453898</v>
      </c>
      <c r="U161">
        <v>2.63952404630649</v>
      </c>
      <c r="V161">
        <v>2.2418175999949401</v>
      </c>
    </row>
    <row r="162" spans="1:22">
      <c r="A162">
        <v>1846</v>
      </c>
      <c r="B162">
        <v>57.5</v>
      </c>
      <c r="C162">
        <v>28.6</v>
      </c>
      <c r="E162">
        <v>787.2</v>
      </c>
      <c r="O162">
        <v>109</v>
      </c>
    </row>
    <row r="163" spans="1:22">
      <c r="A163">
        <v>1847</v>
      </c>
      <c r="B163">
        <v>58.2</v>
      </c>
      <c r="C163">
        <v>28.3</v>
      </c>
      <c r="E163">
        <v>785.2</v>
      </c>
      <c r="O163">
        <v>115</v>
      </c>
    </row>
    <row r="164" spans="1:22">
      <c r="A164">
        <v>1848</v>
      </c>
      <c r="B164">
        <v>56.1</v>
      </c>
      <c r="C164">
        <v>28.4</v>
      </c>
      <c r="E164">
        <v>792.7</v>
      </c>
      <c r="O164">
        <v>100</v>
      </c>
    </row>
    <row r="165" spans="1:22">
      <c r="A165">
        <v>1849</v>
      </c>
      <c r="B165">
        <v>57.8</v>
      </c>
      <c r="C165">
        <v>28.7</v>
      </c>
      <c r="E165">
        <v>794.3</v>
      </c>
      <c r="O165">
        <v>95</v>
      </c>
    </row>
    <row r="166" spans="1:22">
      <c r="A166">
        <v>1850</v>
      </c>
      <c r="B166">
        <v>57.1</v>
      </c>
      <c r="C166">
        <v>28.5</v>
      </c>
      <c r="E166">
        <v>793.5</v>
      </c>
    </row>
    <row r="167" spans="1:22">
      <c r="A167">
        <v>1851</v>
      </c>
      <c r="B167">
        <v>57.1</v>
      </c>
      <c r="C167">
        <v>28.3</v>
      </c>
      <c r="E167">
        <v>789.7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E20" sqref="E20"/>
    </sheetView>
  </sheetViews>
  <sheetFormatPr defaultRowHeight="12.75"/>
  <cols>
    <col min="1" max="12" width="9.140625" style="8"/>
    <col min="13" max="16384" width="9.140625" style="7"/>
  </cols>
  <sheetData>
    <row r="1" spans="1:12">
      <c r="B1" s="8" t="s">
        <v>33</v>
      </c>
      <c r="C1" s="8" t="s">
        <v>249</v>
      </c>
      <c r="D1" s="8" t="s">
        <v>248</v>
      </c>
      <c r="E1" s="8" t="s">
        <v>243</v>
      </c>
      <c r="F1" s="8" t="s">
        <v>247</v>
      </c>
      <c r="G1" s="8" t="s">
        <v>246</v>
      </c>
      <c r="I1" s="8" t="s">
        <v>68</v>
      </c>
      <c r="J1" s="8" t="s">
        <v>114</v>
      </c>
      <c r="K1" s="8" t="s">
        <v>245</v>
      </c>
      <c r="L1" s="8" t="s">
        <v>244</v>
      </c>
    </row>
    <row r="2" spans="1:12">
      <c r="K2" s="8" t="s">
        <v>146</v>
      </c>
      <c r="L2" s="8" t="s">
        <v>243</v>
      </c>
    </row>
    <row r="4" spans="1:12">
      <c r="A4" s="8">
        <v>1772</v>
      </c>
      <c r="B4" s="11">
        <v>26.695440721325223</v>
      </c>
      <c r="E4" s="11">
        <v>375</v>
      </c>
      <c r="F4" s="8">
        <v>0.74920000000000009</v>
      </c>
      <c r="G4" s="11">
        <v>375</v>
      </c>
    </row>
    <row r="5" spans="1:12">
      <c r="A5" s="8">
        <v>1773</v>
      </c>
      <c r="B5" s="11">
        <v>26.79393126441602</v>
      </c>
      <c r="C5" s="11">
        <v>203.02</v>
      </c>
      <c r="D5" s="11">
        <v>171.94</v>
      </c>
      <c r="E5" s="11">
        <v>374.96</v>
      </c>
      <c r="F5" s="8">
        <v>0.755</v>
      </c>
      <c r="G5" s="11">
        <v>374.96</v>
      </c>
    </row>
    <row r="6" spans="1:12">
      <c r="A6" s="8">
        <v>1774</v>
      </c>
      <c r="B6" s="11">
        <v>26.892421807506814</v>
      </c>
      <c r="C6" s="11">
        <v>200.86</v>
      </c>
      <c r="D6" s="11">
        <v>175.7</v>
      </c>
      <c r="E6" s="11">
        <v>376.56</v>
      </c>
      <c r="F6" s="8">
        <v>0.75429999999999997</v>
      </c>
      <c r="G6" s="11">
        <v>376.56</v>
      </c>
      <c r="I6" s="8">
        <v>126.40346860859923</v>
      </c>
      <c r="J6" s="8">
        <f t="shared" ref="J6:J21" si="0">K6-I6</f>
        <v>17.747443245694754</v>
      </c>
      <c r="K6" s="8">
        <v>144.15091185429398</v>
      </c>
      <c r="L6" s="9">
        <f t="shared" ref="L6:L21" si="1">K6/G6</f>
        <v>0.38280994225168363</v>
      </c>
    </row>
    <row r="7" spans="1:12">
      <c r="A7" s="8">
        <v>1775</v>
      </c>
      <c r="B7" s="11">
        <v>26.990912350597608</v>
      </c>
      <c r="C7" s="11">
        <v>199</v>
      </c>
      <c r="D7" s="11">
        <v>175.28</v>
      </c>
      <c r="E7" s="11">
        <v>374.28</v>
      </c>
      <c r="F7" s="8">
        <v>0.74390000000000001</v>
      </c>
      <c r="G7" s="11">
        <v>374.28</v>
      </c>
      <c r="I7" s="8">
        <v>126.77166271747825</v>
      </c>
      <c r="J7" s="8">
        <f t="shared" si="0"/>
        <v>21.554030220513255</v>
      </c>
      <c r="K7" s="8">
        <v>148.32569293799151</v>
      </c>
      <c r="L7" s="9">
        <f t="shared" si="1"/>
        <v>0.39629606962165093</v>
      </c>
    </row>
    <row r="8" spans="1:12">
      <c r="A8" s="8">
        <v>1776</v>
      </c>
      <c r="B8" s="11">
        <v>27.089402893688405</v>
      </c>
      <c r="C8" s="11">
        <v>201.49</v>
      </c>
      <c r="D8" s="11">
        <v>176.89</v>
      </c>
      <c r="E8" s="11">
        <v>378.38</v>
      </c>
      <c r="F8" s="8">
        <v>0.73629999999999995</v>
      </c>
      <c r="G8" s="11">
        <v>378.38</v>
      </c>
      <c r="I8" s="8">
        <v>124.24962656816508</v>
      </c>
      <c r="J8" s="8">
        <f t="shared" si="0"/>
        <v>20.329421912770854</v>
      </c>
      <c r="K8" s="8">
        <v>144.57904848093594</v>
      </c>
      <c r="L8" s="9">
        <f t="shared" si="1"/>
        <v>0.38210013341333038</v>
      </c>
    </row>
    <row r="9" spans="1:12">
      <c r="A9" s="8">
        <v>1777</v>
      </c>
      <c r="B9" s="11">
        <v>27.187893436779198</v>
      </c>
      <c r="C9" s="11">
        <v>216.65</v>
      </c>
      <c r="D9" s="11">
        <v>177.94</v>
      </c>
      <c r="E9" s="11">
        <v>394.59</v>
      </c>
      <c r="F9" s="8">
        <v>0.7359</v>
      </c>
      <c r="G9" s="11">
        <f>394.59-12</f>
        <v>382.59</v>
      </c>
      <c r="I9" s="8">
        <v>124.32539249076396</v>
      </c>
      <c r="J9" s="8">
        <f t="shared" si="0"/>
        <v>25.464570762286314</v>
      </c>
      <c r="K9" s="8">
        <v>149.78996325305027</v>
      </c>
      <c r="L9" s="9">
        <f t="shared" si="1"/>
        <v>0.3915156257430939</v>
      </c>
    </row>
    <row r="10" spans="1:12">
      <c r="A10" s="8">
        <v>1778</v>
      </c>
      <c r="B10" s="11">
        <v>27.286383979869992</v>
      </c>
      <c r="C10" s="11">
        <v>220.9</v>
      </c>
      <c r="D10" s="11">
        <v>178.14</v>
      </c>
      <c r="E10" s="11">
        <v>399.04</v>
      </c>
      <c r="F10" s="8">
        <v>0.73770000000000002</v>
      </c>
      <c r="G10" s="11">
        <v>399.04</v>
      </c>
      <c r="I10" s="8">
        <v>125.29787757274973</v>
      </c>
      <c r="J10" s="8">
        <f t="shared" si="0"/>
        <v>28.667494874107533</v>
      </c>
      <c r="K10" s="8">
        <v>153.96537244685726</v>
      </c>
      <c r="L10" s="9">
        <f t="shared" si="1"/>
        <v>0.385839445787032</v>
      </c>
    </row>
    <row r="11" spans="1:12">
      <c r="A11" s="8">
        <v>1779</v>
      </c>
      <c r="B11" s="11">
        <v>27.384874522960789</v>
      </c>
      <c r="F11" s="8">
        <v>0.74270000000000003</v>
      </c>
      <c r="G11" s="11">
        <f>(G10+G12)/2</f>
        <v>406.72</v>
      </c>
      <c r="I11" s="8">
        <v>128.98091512290088</v>
      </c>
      <c r="J11" s="8">
        <f t="shared" si="0"/>
        <v>24.020547299732385</v>
      </c>
      <c r="K11" s="8">
        <v>153.00146242263327</v>
      </c>
      <c r="L11" s="9">
        <f t="shared" si="1"/>
        <v>0.37618376874172221</v>
      </c>
    </row>
    <row r="12" spans="1:12">
      <c r="A12" s="8">
        <v>1780</v>
      </c>
      <c r="B12" s="11">
        <v>27.483365066051583</v>
      </c>
      <c r="F12" s="8">
        <v>0.74379999999999991</v>
      </c>
      <c r="G12" s="11">
        <f>G13-14</f>
        <v>414.4</v>
      </c>
      <c r="I12" s="8">
        <v>138.52756199752474</v>
      </c>
      <c r="J12" s="8">
        <f t="shared" si="0"/>
        <v>26.724329152707526</v>
      </c>
      <c r="K12" s="8">
        <v>165.25189115023227</v>
      </c>
      <c r="L12" s="9">
        <f t="shared" si="1"/>
        <v>0.39877386860577285</v>
      </c>
    </row>
    <row r="13" spans="1:12">
      <c r="A13" s="8">
        <v>1781</v>
      </c>
      <c r="B13" s="11">
        <v>27.53652646257077</v>
      </c>
      <c r="C13" s="11">
        <v>247.03</v>
      </c>
      <c r="D13" s="11">
        <v>181.37</v>
      </c>
      <c r="E13" s="11">
        <v>428.4</v>
      </c>
      <c r="F13" s="8">
        <v>0.74790000000000001</v>
      </c>
      <c r="G13" s="11">
        <v>428.4</v>
      </c>
      <c r="I13" s="8">
        <v>137.80333475832182</v>
      </c>
      <c r="J13" s="8">
        <f t="shared" si="0"/>
        <v>31.232550782115311</v>
      </c>
      <c r="K13" s="8">
        <v>169.03588554043714</v>
      </c>
      <c r="L13" s="9">
        <f t="shared" si="1"/>
        <v>0.39457489621950781</v>
      </c>
    </row>
    <row r="14" spans="1:12">
      <c r="A14" s="8">
        <v>1782</v>
      </c>
      <c r="B14" s="11">
        <v>27.589687859089956</v>
      </c>
      <c r="C14" s="11">
        <v>266.27999999999997</v>
      </c>
      <c r="D14" s="11">
        <v>180.54</v>
      </c>
      <c r="E14" s="11">
        <v>446.82</v>
      </c>
      <c r="F14" s="8">
        <v>0.74909999999999999</v>
      </c>
      <c r="G14" s="11">
        <f>C15+D14</f>
        <v>434.36</v>
      </c>
      <c r="I14" s="8">
        <v>150.59103342778462</v>
      </c>
      <c r="J14" s="8">
        <f t="shared" si="0"/>
        <v>33.153877872760205</v>
      </c>
      <c r="K14" s="8">
        <v>183.74491130054483</v>
      </c>
      <c r="L14" s="9">
        <f t="shared" si="1"/>
        <v>0.42302447578171293</v>
      </c>
    </row>
    <row r="15" spans="1:12">
      <c r="A15" s="8">
        <v>1783</v>
      </c>
      <c r="B15" s="11">
        <v>27.642849255609146</v>
      </c>
      <c r="C15" s="11">
        <v>253.82</v>
      </c>
      <c r="D15" s="11">
        <v>197.77</v>
      </c>
      <c r="E15" s="11">
        <v>452.14</v>
      </c>
      <c r="F15" s="8">
        <v>0.74929999999999997</v>
      </c>
      <c r="G15" s="11">
        <v>452.14</v>
      </c>
      <c r="I15" s="8">
        <v>166.91813643454557</v>
      </c>
      <c r="J15" s="8">
        <f t="shared" si="0"/>
        <v>36.421141429164265</v>
      </c>
      <c r="K15" s="8">
        <v>203.33927786370984</v>
      </c>
      <c r="L15" s="9">
        <f t="shared" si="1"/>
        <v>0.44972636321429171</v>
      </c>
    </row>
    <row r="16" spans="1:12">
      <c r="A16" s="8">
        <v>1784</v>
      </c>
      <c r="B16" s="11">
        <v>27.696010652128333</v>
      </c>
      <c r="F16" s="8">
        <v>0.76419999999999999</v>
      </c>
      <c r="G16" s="11">
        <f>197+253.8+3.3</f>
        <v>454.1</v>
      </c>
      <c r="I16" s="8">
        <v>172.67896575042462</v>
      </c>
      <c r="J16" s="8">
        <f t="shared" si="0"/>
        <v>39.827723155508977</v>
      </c>
      <c r="K16" s="8">
        <v>212.5066889059336</v>
      </c>
      <c r="L16" s="9">
        <f t="shared" si="1"/>
        <v>0.46797332945592068</v>
      </c>
    </row>
    <row r="17" spans="1:12">
      <c r="A17" s="8">
        <v>1785</v>
      </c>
      <c r="B17" s="11">
        <v>27.74917204864752</v>
      </c>
      <c r="F17" s="8">
        <v>0.77939999999999998</v>
      </c>
      <c r="G17" s="11">
        <f>G16+3.3</f>
        <v>457.40000000000003</v>
      </c>
      <c r="I17" s="8">
        <v>182.2402778273283</v>
      </c>
      <c r="J17" s="8">
        <f t="shared" si="0"/>
        <v>58.35746350417881</v>
      </c>
      <c r="K17" s="8">
        <v>240.59774133150711</v>
      </c>
      <c r="L17" s="9">
        <f t="shared" si="1"/>
        <v>0.52601167759402512</v>
      </c>
    </row>
    <row r="18" spans="1:12">
      <c r="A18" s="8">
        <v>1786</v>
      </c>
      <c r="B18" s="11">
        <v>27.80233344516671</v>
      </c>
      <c r="C18" s="11">
        <v>263.97000000000003</v>
      </c>
      <c r="D18" s="11">
        <v>196.9</v>
      </c>
      <c r="E18" s="11">
        <v>460.87</v>
      </c>
      <c r="F18" s="8">
        <v>0.78410000000000002</v>
      </c>
      <c r="G18" s="11">
        <v>460.87</v>
      </c>
      <c r="I18" s="8">
        <v>191.42063456774321</v>
      </c>
      <c r="J18" s="8">
        <f t="shared" si="0"/>
        <v>51.512183007311364</v>
      </c>
      <c r="K18" s="8">
        <v>242.93281757505457</v>
      </c>
      <c r="L18" s="9">
        <f t="shared" si="1"/>
        <v>0.52711788047617458</v>
      </c>
    </row>
    <row r="19" spans="1:12">
      <c r="A19" s="8">
        <v>1787</v>
      </c>
      <c r="B19" s="11">
        <v>27.855494841685896</v>
      </c>
      <c r="C19" s="11">
        <v>280.86</v>
      </c>
      <c r="D19" s="11">
        <v>182.18</v>
      </c>
      <c r="E19" s="11">
        <v>467.14</v>
      </c>
      <c r="F19" s="8">
        <v>0.80059999999999998</v>
      </c>
      <c r="G19" s="11">
        <v>467.14</v>
      </c>
      <c r="I19" s="8">
        <v>211.66281722536607</v>
      </c>
      <c r="J19" s="8">
        <f t="shared" si="0"/>
        <v>50.030142704664087</v>
      </c>
      <c r="K19" s="8">
        <v>261.69295993003016</v>
      </c>
      <c r="L19" s="9">
        <f t="shared" si="1"/>
        <v>0.56020242310662793</v>
      </c>
    </row>
    <row r="20" spans="1:12">
      <c r="A20" s="8">
        <v>1788</v>
      </c>
      <c r="B20" s="11">
        <v>27.908656238205083</v>
      </c>
      <c r="C20" s="11">
        <v>287.54000000000002</v>
      </c>
      <c r="D20" s="11">
        <v>193.28</v>
      </c>
      <c r="E20" s="11">
        <v>472.42</v>
      </c>
      <c r="F20" s="8">
        <v>0.80149999999999999</v>
      </c>
      <c r="G20" s="11">
        <v>472.42</v>
      </c>
      <c r="I20" s="8">
        <v>213.43710385375957</v>
      </c>
      <c r="J20" s="8">
        <f t="shared" si="0"/>
        <v>58.600450024055164</v>
      </c>
      <c r="K20" s="8">
        <v>272.03755387781473</v>
      </c>
      <c r="L20" s="9">
        <f t="shared" si="1"/>
        <v>0.57583835120827809</v>
      </c>
    </row>
    <row r="21" spans="1:12">
      <c r="A21" s="8">
        <v>1789</v>
      </c>
      <c r="B21" s="11">
        <f>B20+B20-B19</f>
        <v>27.96181763472427</v>
      </c>
      <c r="C21" s="11">
        <v>285.57</v>
      </c>
      <c r="D21" s="11">
        <v>187.66</v>
      </c>
      <c r="E21" s="11">
        <v>475.33</v>
      </c>
      <c r="F21" s="8">
        <v>0.80840000000000001</v>
      </c>
      <c r="G21" s="11">
        <v>475.33</v>
      </c>
      <c r="I21" s="8">
        <v>222.54546766375012</v>
      </c>
      <c r="J21" s="8">
        <f t="shared" si="0"/>
        <v>59.724810818097296</v>
      </c>
      <c r="K21" s="8">
        <v>282.27027848184741</v>
      </c>
      <c r="L21" s="9">
        <f t="shared" si="1"/>
        <v>0.59384065487523918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130"/>
  <sheetViews>
    <sheetView workbookViewId="0"/>
  </sheetViews>
  <sheetFormatPr defaultRowHeight="12.75"/>
  <cols>
    <col min="1" max="39" width="9.140625" style="8"/>
    <col min="40" max="16384" width="9.140625" style="7"/>
  </cols>
  <sheetData>
    <row r="1" spans="1:39">
      <c r="L1" s="8" t="s">
        <v>274</v>
      </c>
      <c r="M1" s="8" t="s">
        <v>78</v>
      </c>
      <c r="N1" s="8" t="s">
        <v>16</v>
      </c>
      <c r="O1" s="8" t="s">
        <v>273</v>
      </c>
      <c r="P1" s="8" t="s">
        <v>273</v>
      </c>
      <c r="R1" s="8" t="s">
        <v>58</v>
      </c>
      <c r="S1" s="8" t="s">
        <v>58</v>
      </c>
      <c r="T1" s="8" t="s">
        <v>272</v>
      </c>
      <c r="U1" s="9">
        <f>(R19/R5)^(1/14)-1</f>
        <v>3.7217427685471538E-2</v>
      </c>
      <c r="W1" s="8" t="s">
        <v>110</v>
      </c>
      <c r="X1" s="8" t="s">
        <v>271</v>
      </c>
      <c r="Y1" s="8" t="s">
        <v>270</v>
      </c>
      <c r="AC1" s="8" t="s">
        <v>269</v>
      </c>
      <c r="AD1" s="8" t="s">
        <v>268</v>
      </c>
      <c r="AF1" s="8" t="s">
        <v>267</v>
      </c>
      <c r="AJ1" s="8" t="s">
        <v>266</v>
      </c>
    </row>
    <row r="2" spans="1:39">
      <c r="B2" s="8" t="s">
        <v>58</v>
      </c>
      <c r="E2" s="8" t="s">
        <v>91</v>
      </c>
      <c r="H2" s="8" t="s">
        <v>183</v>
      </c>
      <c r="I2" s="8" t="s">
        <v>265</v>
      </c>
      <c r="J2" s="8" t="s">
        <v>264</v>
      </c>
      <c r="K2" s="8" t="s">
        <v>263</v>
      </c>
      <c r="L2" s="8" t="s">
        <v>78</v>
      </c>
      <c r="M2" s="8" t="s">
        <v>262</v>
      </c>
      <c r="N2" s="8" t="s">
        <v>261</v>
      </c>
      <c r="O2" s="8" t="s">
        <v>260</v>
      </c>
      <c r="P2" s="8" t="s">
        <v>259</v>
      </c>
      <c r="Q2" s="8" t="s">
        <v>258</v>
      </c>
      <c r="R2" s="8" t="s">
        <v>37</v>
      </c>
      <c r="S2" s="8" t="s">
        <v>257</v>
      </c>
      <c r="X2" s="8" t="s">
        <v>256</v>
      </c>
      <c r="Z2" s="8" t="s">
        <v>253</v>
      </c>
      <c r="AC2" s="8" t="s">
        <v>255</v>
      </c>
      <c r="AE2" s="8" t="s">
        <v>254</v>
      </c>
      <c r="AG2" s="8" t="s">
        <v>253</v>
      </c>
      <c r="AH2" s="8" t="s">
        <v>252</v>
      </c>
      <c r="AJ2" s="8" t="s">
        <v>251</v>
      </c>
    </row>
    <row r="3" spans="1:39">
      <c r="Q3" s="9">
        <v>1.7999999999999999E-2</v>
      </c>
      <c r="AJ3" s="8" t="s">
        <v>37</v>
      </c>
      <c r="AL3" s="8" t="s">
        <v>250</v>
      </c>
    </row>
    <row r="4" spans="1:39">
      <c r="A4" s="8">
        <v>1774</v>
      </c>
      <c r="B4" s="8">
        <v>141.97967129513373</v>
      </c>
      <c r="E4" s="8">
        <v>126.40346860859923</v>
      </c>
      <c r="H4" s="8">
        <v>0</v>
      </c>
      <c r="I4" s="8">
        <f>12.804/2+5.23/3*2</f>
        <v>9.8886666666666674</v>
      </c>
      <c r="J4" s="8">
        <v>18</v>
      </c>
      <c r="K4" s="8">
        <f t="shared" ref="K4:K35" si="0">B4-E4</f>
        <v>15.576202686534501</v>
      </c>
      <c r="L4" s="8">
        <f t="shared" ref="L4:L35" si="1">H4-K4+J4+I4</f>
        <v>12.312463980132167</v>
      </c>
      <c r="M4" s="8">
        <f>H4</f>
        <v>0</v>
      </c>
      <c r="N4" s="8">
        <f t="shared" ref="N4:N19" si="2">$Q$3*Q4</f>
        <v>9.2305374656743471</v>
      </c>
      <c r="O4" s="8">
        <f t="shared" ref="O4:O35" si="3">M4+J4+I4-K4</f>
        <v>12.312463980132165</v>
      </c>
      <c r="P4" s="8">
        <f t="shared" ref="P4:P17" si="4">P5-O4</f>
        <v>1720.5245323457582</v>
      </c>
      <c r="Q4" s="8">
        <f>(1+$Q$3)*Q5</f>
        <v>512.80763698190822</v>
      </c>
      <c r="R4" s="8">
        <f t="shared" ref="R4:R35" si="5">Q4+P4</f>
        <v>2233.3321693276666</v>
      </c>
      <c r="S4" s="8">
        <f t="shared" ref="S4:S18" si="6">S5-L4</f>
        <v>2099.946532345758</v>
      </c>
      <c r="T4" s="9">
        <f t="shared" ref="T4:T19" si="7">R4/5941</f>
        <v>0.37591856073517366</v>
      </c>
      <c r="W4" s="9">
        <f t="shared" ref="W4:W35" si="8">(E4-N4)/R4</f>
        <v>5.2465518901381875E-2</v>
      </c>
      <c r="X4" s="9">
        <f t="shared" ref="X4:X35" si="9">E4/R4</f>
        <v>5.6598597532695888E-2</v>
      </c>
      <c r="Y4" s="9">
        <f t="shared" ref="Y4:Y35" si="10">(K4+N4)/R4</f>
        <v>1.1107501379732864E-2</v>
      </c>
      <c r="Z4" s="9">
        <f t="shared" ref="Z4:Z35" si="11">B4/R4</f>
        <v>6.3573020281114737E-2</v>
      </c>
      <c r="AC4" s="8">
        <v>4.6120000000000001</v>
      </c>
      <c r="AD4" s="9">
        <f>AC4/4.649-1</f>
        <v>-7.9587007958700218E-3</v>
      </c>
      <c r="AE4" s="8">
        <v>127.7</v>
      </c>
      <c r="AF4" s="9">
        <f>(AE4-128.9)/128.9</f>
        <v>-9.3095422808378812E-3</v>
      </c>
      <c r="AG4" s="9">
        <f t="shared" ref="AG4:AG29" si="12">AC4/AE4</f>
        <v>3.6115896632732965E-2</v>
      </c>
      <c r="AH4" s="9">
        <f t="shared" ref="AH4:AH19" si="13">AE4/134.8</f>
        <v>0.94732937685459939</v>
      </c>
      <c r="AJ4" s="8">
        <f>AE4/AE$4</f>
        <v>1</v>
      </c>
      <c r="AK4" s="8">
        <f>R4/R$4</f>
        <v>1</v>
      </c>
      <c r="AL4" s="8">
        <f t="shared" ref="AL4:AL19" si="14">AE4*23.84</f>
        <v>3044.3679999999999</v>
      </c>
      <c r="AM4" s="8">
        <f t="shared" ref="AM4:AM19" si="15">R4</f>
        <v>2233.3321693276666</v>
      </c>
    </row>
    <row r="5" spans="1:39">
      <c r="A5" s="8">
        <v>1775</v>
      </c>
      <c r="B5" s="8">
        <v>146.28664713575202</v>
      </c>
      <c r="C5" s="9">
        <f t="shared" ref="C5:C36" si="16">B5/B4-1</f>
        <v>3.0335158557068143E-2</v>
      </c>
      <c r="D5" s="9">
        <f>B5/B4-1</f>
        <v>3.0335158557068143E-2</v>
      </c>
      <c r="E5" s="8">
        <v>126.77166271747825</v>
      </c>
      <c r="F5" s="9">
        <f t="shared" ref="F5:F24" si="17">E5/E4-1</f>
        <v>2.9128481435831688E-3</v>
      </c>
      <c r="G5" s="9">
        <f t="shared" ref="G5:G18" si="18">(+E5/E4-1+E6/E5-1)/2</f>
        <v>-8.4907364183793854E-3</v>
      </c>
      <c r="H5" s="8">
        <f>40</f>
        <v>40</v>
      </c>
      <c r="I5" s="8">
        <v>12.804</v>
      </c>
      <c r="J5" s="8">
        <v>-27.5</v>
      </c>
      <c r="K5" s="8">
        <f t="shared" si="0"/>
        <v>19.51498441827377</v>
      </c>
      <c r="L5" s="8">
        <f t="shared" si="1"/>
        <v>5.7890155817262308</v>
      </c>
      <c r="M5" s="8">
        <f>H5</f>
        <v>40</v>
      </c>
      <c r="N5" s="8">
        <f t="shared" si="2"/>
        <v>9.0673256047881612</v>
      </c>
      <c r="O5" s="8">
        <f t="shared" si="3"/>
        <v>5.7890155817262325</v>
      </c>
      <c r="P5" s="8">
        <f t="shared" si="4"/>
        <v>1732.8369963258904</v>
      </c>
      <c r="Q5" s="8">
        <f>(1+$Q$3)*Q6</f>
        <v>503.74031137712007</v>
      </c>
      <c r="R5" s="8">
        <f t="shared" si="5"/>
        <v>2236.5773077030103</v>
      </c>
      <c r="S5" s="8">
        <f t="shared" si="6"/>
        <v>2112.2589963258902</v>
      </c>
      <c r="T5" s="9">
        <f t="shared" si="7"/>
        <v>0.37646478836946817</v>
      </c>
      <c r="U5" s="9">
        <f t="shared" ref="U5:U20" si="19">R5/R4-1</f>
        <v>1.4530477910594808E-3</v>
      </c>
      <c r="V5" s="9">
        <f t="shared" ref="V5:V18" si="20">(+R5/R4-1+R6/R5-1)/2</f>
        <v>2.9480243313617649E-5</v>
      </c>
      <c r="W5" s="9">
        <f t="shared" si="8"/>
        <v>5.2626992461786953E-2</v>
      </c>
      <c r="X5" s="9">
        <f t="shared" si="9"/>
        <v>5.6681100304855618E-2</v>
      </c>
      <c r="Y5" s="9">
        <f t="shared" si="10"/>
        <v>1.2779486729397375E-2</v>
      </c>
      <c r="Z5" s="9">
        <f t="shared" si="11"/>
        <v>6.5406479191184336E-2</v>
      </c>
      <c r="AC5" s="8">
        <v>4.6740000000000004</v>
      </c>
      <c r="AD5" s="9">
        <f t="shared" ref="AD5:AD36" si="21">AC5/AC4-1</f>
        <v>1.3443191673894184E-2</v>
      </c>
      <c r="AE5" s="8">
        <v>127.3</v>
      </c>
      <c r="AF5" s="9">
        <f t="shared" ref="AF5:AF29" si="22">AE5/AE4-1</f>
        <v>-3.1323414252153459E-3</v>
      </c>
      <c r="AG5" s="9">
        <f t="shared" si="12"/>
        <v>3.6716417910447767E-2</v>
      </c>
      <c r="AH5" s="9">
        <f t="shared" si="13"/>
        <v>0.94436201780415419</v>
      </c>
      <c r="AJ5" s="8">
        <v>0.99686765857478465</v>
      </c>
      <c r="AK5" s="8">
        <v>1.0017744021884354</v>
      </c>
      <c r="AL5" s="8">
        <f t="shared" si="14"/>
        <v>3034.8319999999999</v>
      </c>
      <c r="AM5" s="8">
        <f t="shared" si="15"/>
        <v>2236.5773077030103</v>
      </c>
    </row>
    <row r="6" spans="1:39">
      <c r="A6" s="8">
        <v>1776</v>
      </c>
      <c r="B6" s="8">
        <v>142.66767615349954</v>
      </c>
      <c r="C6" s="9">
        <f t="shared" si="16"/>
        <v>-2.4738901691376713E-2</v>
      </c>
      <c r="D6" s="9">
        <f t="shared" ref="D6:D37" si="23">(B6/B4)^0.5-1</f>
        <v>2.4199710502359473E-3</v>
      </c>
      <c r="E6" s="8">
        <v>124.24962656816508</v>
      </c>
      <c r="F6" s="9">
        <f t="shared" si="17"/>
        <v>-1.989432098034194E-2</v>
      </c>
      <c r="G6" s="9">
        <f t="shared" si="18"/>
        <v>-9.6422665251283401E-3</v>
      </c>
      <c r="H6" s="8">
        <v>24.591999999999999</v>
      </c>
      <c r="I6" s="8">
        <v>12.804</v>
      </c>
      <c r="J6" s="8">
        <f>68.5/5</f>
        <v>13.7</v>
      </c>
      <c r="K6" s="8">
        <f t="shared" si="0"/>
        <v>18.418049585334458</v>
      </c>
      <c r="L6" s="8">
        <f t="shared" si="1"/>
        <v>32.677950414665538</v>
      </c>
      <c r="M6" s="8">
        <f>H6-4.05</f>
        <v>20.541999999999998</v>
      </c>
      <c r="N6" s="8">
        <f t="shared" si="2"/>
        <v>8.9069996117761896</v>
      </c>
      <c r="O6" s="8">
        <f t="shared" si="3"/>
        <v>28.627950414665541</v>
      </c>
      <c r="P6" s="8">
        <f t="shared" si="4"/>
        <v>1738.6260119076167</v>
      </c>
      <c r="Q6" s="8">
        <f>(1+$Q$3)*(Q7-4.05)</f>
        <v>494.83331176534386</v>
      </c>
      <c r="R6" s="8">
        <f t="shared" si="5"/>
        <v>2233.4593236729606</v>
      </c>
      <c r="S6" s="8">
        <f t="shared" si="6"/>
        <v>2118.0480119076165</v>
      </c>
      <c r="T6" s="9">
        <f t="shared" si="7"/>
        <v>0.37593996358743659</v>
      </c>
      <c r="U6" s="9">
        <f t="shared" si="19"/>
        <v>-1.3940873044321345E-3</v>
      </c>
      <c r="V6" s="9">
        <f t="shared" si="20"/>
        <v>4.6597680213920079E-3</v>
      </c>
      <c r="W6" s="9">
        <f t="shared" si="8"/>
        <v>5.1643038999566848E-2</v>
      </c>
      <c r="X6" s="9">
        <f t="shared" si="9"/>
        <v>5.563102280449618E-2</v>
      </c>
      <c r="Y6" s="9">
        <f t="shared" si="10"/>
        <v>1.223440646869456E-2</v>
      </c>
      <c r="Z6" s="9">
        <f t="shared" si="11"/>
        <v>6.3877445468261407E-2</v>
      </c>
      <c r="AC6" s="8">
        <v>4.6319999999999997</v>
      </c>
      <c r="AD6" s="9">
        <f t="shared" si="21"/>
        <v>-8.9858793324776309E-3</v>
      </c>
      <c r="AE6" s="8">
        <v>131.19999999999999</v>
      </c>
      <c r="AF6" s="9">
        <f t="shared" si="22"/>
        <v>3.0636292223094941E-2</v>
      </c>
      <c r="AG6" s="9">
        <f t="shared" si="12"/>
        <v>3.5304878048780491E-2</v>
      </c>
      <c r="AH6" s="9">
        <f t="shared" si="13"/>
        <v>0.97329376854599392</v>
      </c>
      <c r="AJ6" s="8">
        <v>1.0274079874706341</v>
      </c>
      <c r="AK6" s="8">
        <v>0.98371522816579204</v>
      </c>
      <c r="AL6" s="8">
        <f t="shared" si="14"/>
        <v>3127.8079999999995</v>
      </c>
      <c r="AM6" s="8">
        <f t="shared" si="15"/>
        <v>2233.4593236729606</v>
      </c>
    </row>
    <row r="7" spans="1:39">
      <c r="A7" s="8">
        <v>1777</v>
      </c>
      <c r="B7" s="8">
        <v>165.25187330026105</v>
      </c>
      <c r="C7" s="9">
        <f t="shared" si="16"/>
        <v>0.15829932718931117</v>
      </c>
      <c r="D7" s="9">
        <f t="shared" si="23"/>
        <v>6.2847248669716915E-2</v>
      </c>
      <c r="E7" s="8">
        <v>124.32539249076396</v>
      </c>
      <c r="F7" s="9">
        <f t="shared" si="17"/>
        <v>6.0978793008525933E-4</v>
      </c>
      <c r="G7" s="9">
        <f t="shared" si="18"/>
        <v>4.21594167019268E-3</v>
      </c>
      <c r="H7" s="8">
        <v>77.972300000000004</v>
      </c>
      <c r="I7" s="8">
        <f>12.804-1.1984</f>
        <v>11.605600000000001</v>
      </c>
      <c r="J7" s="8">
        <f>68.5/5</f>
        <v>13.7</v>
      </c>
      <c r="K7" s="8">
        <f t="shared" si="0"/>
        <v>40.926480809497093</v>
      </c>
      <c r="L7" s="8">
        <f t="shared" si="1"/>
        <v>62.351419190502916</v>
      </c>
      <c r="M7" s="8">
        <f>H7-12</f>
        <v>65.972300000000004</v>
      </c>
      <c r="N7" s="8">
        <f t="shared" si="2"/>
        <v>8.8224084595050982</v>
      </c>
      <c r="O7" s="8">
        <f t="shared" si="3"/>
        <v>50.351419190502909</v>
      </c>
      <c r="P7" s="8">
        <f t="shared" si="4"/>
        <v>1767.2539623222822</v>
      </c>
      <c r="Q7" s="8">
        <f>(1+$Q$3)*(Q8-14.863)</f>
        <v>490.1338033058388</v>
      </c>
      <c r="R7" s="8">
        <f t="shared" si="5"/>
        <v>2257.3877656281211</v>
      </c>
      <c r="S7" s="8">
        <f t="shared" si="6"/>
        <v>2150.7259623222822</v>
      </c>
      <c r="T7" s="9">
        <f t="shared" si="7"/>
        <v>0.37996764275847855</v>
      </c>
      <c r="U7" s="9">
        <f t="shared" si="19"/>
        <v>1.0713623347216261E-2</v>
      </c>
      <c r="V7" s="9">
        <f t="shared" si="20"/>
        <v>1.7881909715351529E-2</v>
      </c>
      <c r="W7" s="9">
        <f t="shared" si="8"/>
        <v>5.1166656340551224E-2</v>
      </c>
      <c r="X7" s="9">
        <f t="shared" si="9"/>
        <v>5.5074894257775099E-2</v>
      </c>
      <c r="Y7" s="9">
        <f t="shared" si="10"/>
        <v>2.2038255910880024E-2</v>
      </c>
      <c r="Z7" s="9">
        <f t="shared" si="11"/>
        <v>7.3204912251431248E-2</v>
      </c>
      <c r="AC7" s="8">
        <v>4.7089999999999996</v>
      </c>
      <c r="AD7" s="9">
        <f t="shared" si="21"/>
        <v>1.6623488773747752E-2</v>
      </c>
      <c r="AE7" s="8">
        <v>136.6</v>
      </c>
      <c r="AF7" s="9">
        <f t="shared" si="22"/>
        <v>4.1158536585365946E-2</v>
      </c>
      <c r="AG7" s="9">
        <f t="shared" si="12"/>
        <v>3.4472913616398239E-2</v>
      </c>
      <c r="AH7" s="9">
        <f t="shared" si="13"/>
        <v>1.0133531157270028</v>
      </c>
      <c r="AJ7" s="8">
        <v>1.0696945967110414</v>
      </c>
      <c r="AK7" s="8">
        <v>0.99492120340594226</v>
      </c>
      <c r="AL7" s="8">
        <f t="shared" si="14"/>
        <v>3256.5439999999999</v>
      </c>
      <c r="AM7" s="8">
        <f t="shared" si="15"/>
        <v>2257.3877656281211</v>
      </c>
    </row>
    <row r="8" spans="1:39">
      <c r="A8" s="8">
        <v>1778</v>
      </c>
      <c r="B8" s="8">
        <v>148.14706793421459</v>
      </c>
      <c r="C8" s="9">
        <f t="shared" si="16"/>
        <v>-0.10350748239305707</v>
      </c>
      <c r="D8" s="9">
        <f t="shared" si="23"/>
        <v>1.9022413872419985E-2</v>
      </c>
      <c r="E8" s="8">
        <v>125.29787757274973</v>
      </c>
      <c r="F8" s="9">
        <f t="shared" si="17"/>
        <v>7.8220954103001006E-3</v>
      </c>
      <c r="G8" s="9">
        <f t="shared" si="18"/>
        <v>1.8608174350462692E-2</v>
      </c>
      <c r="H8" s="8">
        <v>106.8085</v>
      </c>
      <c r="I8" s="8">
        <v>12.804</v>
      </c>
      <c r="J8" s="8">
        <f>68.5/5</f>
        <v>13.7</v>
      </c>
      <c r="K8" s="8">
        <f t="shared" si="0"/>
        <v>22.849190361464863</v>
      </c>
      <c r="L8" s="8">
        <f t="shared" si="1"/>
        <v>110.46330963853514</v>
      </c>
      <c r="M8" s="8">
        <f>H8-48.366</f>
        <v>58.442499999999995</v>
      </c>
      <c r="N8" s="8">
        <f t="shared" si="2"/>
        <v>8.933947025054124</v>
      </c>
      <c r="O8" s="8">
        <f t="shared" si="3"/>
        <v>62.097309638535137</v>
      </c>
      <c r="P8" s="8">
        <f t="shared" si="4"/>
        <v>1817.605381512785</v>
      </c>
      <c r="Q8" s="8">
        <f>(1+$Q$3)*(Q9-48.366)</f>
        <v>496.33039028078468</v>
      </c>
      <c r="R8" s="8">
        <f t="shared" si="5"/>
        <v>2313.9357717935695</v>
      </c>
      <c r="S8" s="8">
        <f t="shared" si="6"/>
        <v>2213.077381512785</v>
      </c>
      <c r="T8" s="9">
        <f t="shared" si="7"/>
        <v>0.3894859067149587</v>
      </c>
      <c r="U8" s="9">
        <f t="shared" si="19"/>
        <v>2.5050196083486798E-2</v>
      </c>
      <c r="V8" s="9">
        <f t="shared" si="20"/>
        <v>3.4497905472735346E-2</v>
      </c>
      <c r="W8" s="9">
        <f t="shared" si="8"/>
        <v>5.0288314812428875E-2</v>
      </c>
      <c r="X8" s="9">
        <f t="shared" si="9"/>
        <v>5.4149246102725354E-2</v>
      </c>
      <c r="Y8" s="9">
        <f t="shared" si="10"/>
        <v>1.3735531372110366E-2</v>
      </c>
      <c r="Z8" s="9">
        <f t="shared" si="11"/>
        <v>6.402384618453924E-2</v>
      </c>
      <c r="AC8" s="8">
        <v>5.03</v>
      </c>
      <c r="AD8" s="9">
        <f t="shared" si="21"/>
        <v>6.8167339137821248E-2</v>
      </c>
      <c r="AE8" s="8">
        <v>143.1</v>
      </c>
      <c r="AF8" s="9">
        <f t="shared" si="22"/>
        <v>4.7584187408491907E-2</v>
      </c>
      <c r="AG8" s="9">
        <f t="shared" si="12"/>
        <v>3.5150244584206854E-2</v>
      </c>
      <c r="AH8" s="9">
        <f t="shared" si="13"/>
        <v>1.0615727002967357</v>
      </c>
      <c r="AJ8" s="8">
        <v>1.1205951448707909</v>
      </c>
      <c r="AK8" s="8">
        <v>1.0181493244695974</v>
      </c>
      <c r="AL8" s="8">
        <f t="shared" si="14"/>
        <v>3411.5039999999999</v>
      </c>
      <c r="AM8" s="8">
        <f t="shared" si="15"/>
        <v>2313.9357717935695</v>
      </c>
    </row>
    <row r="9" spans="1:39">
      <c r="A9" s="8">
        <v>1779</v>
      </c>
      <c r="B9" s="8">
        <v>147.30124575594061</v>
      </c>
      <c r="C9" s="9">
        <f t="shared" si="16"/>
        <v>-5.709341332692297E-3</v>
      </c>
      <c r="D9" s="9">
        <f t="shared" si="23"/>
        <v>-5.5873877163797436E-2</v>
      </c>
      <c r="E9" s="8">
        <v>128.98091512290088</v>
      </c>
      <c r="F9" s="9">
        <f t="shared" si="17"/>
        <v>2.9394253290625283E-2</v>
      </c>
      <c r="G9" s="9">
        <f t="shared" si="18"/>
        <v>5.3430751946013433E-2</v>
      </c>
      <c r="H9" s="8">
        <v>114.849</v>
      </c>
      <c r="I9" s="8">
        <f>12.804-0.573</f>
        <v>12.231</v>
      </c>
      <c r="J9" s="8">
        <f>68.5/5</f>
        <v>13.7</v>
      </c>
      <c r="K9" s="8">
        <f t="shared" si="0"/>
        <v>18.320330633039731</v>
      </c>
      <c r="L9" s="8">
        <f t="shared" si="1"/>
        <v>122.45966936696027</v>
      </c>
      <c r="M9" s="8">
        <f>H9-69.448</f>
        <v>45.40100000000001</v>
      </c>
      <c r="N9" s="8">
        <f t="shared" si="2"/>
        <v>9.6465673959274287</v>
      </c>
      <c r="O9" s="8">
        <f t="shared" si="3"/>
        <v>53.011669366960277</v>
      </c>
      <c r="P9" s="8">
        <f t="shared" si="4"/>
        <v>1879.7026911513201</v>
      </c>
      <c r="Q9" s="8">
        <f>(1+$Q$3)*(Q10-69.448)</f>
        <v>535.92041088485723</v>
      </c>
      <c r="R9" s="8">
        <f t="shared" si="5"/>
        <v>2415.6231020361774</v>
      </c>
      <c r="S9" s="8">
        <f t="shared" si="6"/>
        <v>2323.5406911513201</v>
      </c>
      <c r="T9" s="9">
        <f t="shared" si="7"/>
        <v>0.40660210436562488</v>
      </c>
      <c r="U9" s="9">
        <f t="shared" si="19"/>
        <v>4.3945614861983895E-2</v>
      </c>
      <c r="V9" s="9">
        <f t="shared" si="20"/>
        <v>4.5358837698941334E-2</v>
      </c>
      <c r="W9" s="9">
        <f t="shared" si="8"/>
        <v>4.9401062453155099E-2</v>
      </c>
      <c r="X9" s="9">
        <f t="shared" si="9"/>
        <v>5.3394469946151893E-2</v>
      </c>
      <c r="Y9" s="9">
        <f t="shared" si="10"/>
        <v>1.157750892736259E-2</v>
      </c>
      <c r="Z9" s="9">
        <f t="shared" si="11"/>
        <v>6.0978571380517689E-2</v>
      </c>
      <c r="AC9" s="8">
        <v>5.6180000000000003</v>
      </c>
      <c r="AD9" s="9">
        <f t="shared" si="21"/>
        <v>0.11689860834990062</v>
      </c>
      <c r="AE9" s="8">
        <v>153.4</v>
      </c>
      <c r="AF9" s="9">
        <f t="shared" si="22"/>
        <v>7.1977638015374046E-2</v>
      </c>
      <c r="AG9" s="9">
        <f t="shared" si="12"/>
        <v>3.6623207301173404E-2</v>
      </c>
      <c r="AH9" s="9">
        <f t="shared" si="13"/>
        <v>1.1379821958456973</v>
      </c>
      <c r="AJ9" s="8">
        <v>1.2012529365700861</v>
      </c>
      <c r="AK9" s="8">
        <v>1.0613817836898614</v>
      </c>
      <c r="AL9" s="8">
        <f t="shared" si="14"/>
        <v>3657.056</v>
      </c>
      <c r="AM9" s="8">
        <f t="shared" si="15"/>
        <v>2415.6231020361774</v>
      </c>
    </row>
    <row r="10" spans="1:39">
      <c r="A10" s="8">
        <v>1780</v>
      </c>
      <c r="B10" s="8">
        <v>162.82932908551513</v>
      </c>
      <c r="C10" s="9">
        <f t="shared" si="16"/>
        <v>0.10541718944660228</v>
      </c>
      <c r="D10" s="9">
        <f t="shared" si="23"/>
        <v>4.8382556797387011E-2</v>
      </c>
      <c r="E10" s="8">
        <v>138.97271199752475</v>
      </c>
      <c r="F10" s="9">
        <f t="shared" si="17"/>
        <v>7.7467250601401583E-2</v>
      </c>
      <c r="G10" s="9">
        <f t="shared" si="18"/>
        <v>3.3954351657301762E-2</v>
      </c>
      <c r="H10" s="8">
        <v>76.814400000000006</v>
      </c>
      <c r="I10" s="8">
        <v>12.804</v>
      </c>
      <c r="J10" s="8">
        <f>68.5/5</f>
        <v>13.7</v>
      </c>
      <c r="K10" s="8">
        <f t="shared" si="0"/>
        <v>23.856617087990372</v>
      </c>
      <c r="L10" s="8">
        <f t="shared" si="1"/>
        <v>79.461782912009639</v>
      </c>
      <c r="M10" s="8">
        <f>H10</f>
        <v>76.814400000000006</v>
      </c>
      <c r="N10" s="8">
        <f t="shared" si="2"/>
        <v>10.726063406608477</v>
      </c>
      <c r="O10" s="8">
        <f t="shared" si="3"/>
        <v>79.461782912009639</v>
      </c>
      <c r="P10" s="8">
        <f t="shared" si="4"/>
        <v>1932.7143605182803</v>
      </c>
      <c r="Q10" s="8">
        <f>(1+$Q$3)*Q11</f>
        <v>595.89241147824873</v>
      </c>
      <c r="R10" s="8">
        <f t="shared" si="5"/>
        <v>2528.606771996529</v>
      </c>
      <c r="S10" s="8">
        <f t="shared" si="6"/>
        <v>2446.0003605182801</v>
      </c>
      <c r="T10" s="9">
        <f t="shared" si="7"/>
        <v>0.42561972260503772</v>
      </c>
      <c r="U10" s="9">
        <f t="shared" si="19"/>
        <v>4.6772060535898774E-2</v>
      </c>
      <c r="V10" s="9">
        <f t="shared" si="20"/>
        <v>3.7015151176315486E-2</v>
      </c>
      <c r="W10" s="9">
        <f t="shared" si="8"/>
        <v>5.0718304645548225E-2</v>
      </c>
      <c r="X10" s="9">
        <f t="shared" si="9"/>
        <v>5.4960191334058293E-2</v>
      </c>
      <c r="Y10" s="9">
        <f t="shared" si="10"/>
        <v>1.3676575131250309E-2</v>
      </c>
      <c r="Z10" s="9">
        <f t="shared" si="11"/>
        <v>6.4394879776798544E-2</v>
      </c>
      <c r="AC10" s="8">
        <v>5.9950000000000001</v>
      </c>
      <c r="AD10" s="9">
        <f t="shared" si="21"/>
        <v>6.7105731577073557E-2</v>
      </c>
      <c r="AE10" s="8">
        <v>167.2</v>
      </c>
      <c r="AF10" s="9">
        <f t="shared" si="22"/>
        <v>8.9960886571055942E-2</v>
      </c>
      <c r="AG10" s="9">
        <f t="shared" si="12"/>
        <v>3.5855263157894737E-2</v>
      </c>
      <c r="AH10" s="9">
        <f t="shared" si="13"/>
        <v>1.2403560830860532</v>
      </c>
      <c r="AJ10" s="8">
        <v>1.3093187157400155</v>
      </c>
      <c r="AK10" s="8">
        <v>1.1094725073768525</v>
      </c>
      <c r="AL10" s="8">
        <f t="shared" si="14"/>
        <v>3986.0479999999998</v>
      </c>
      <c r="AM10" s="8">
        <f t="shared" si="15"/>
        <v>2528.606771996529</v>
      </c>
    </row>
    <row r="11" spans="1:39">
      <c r="A11" s="8">
        <v>1781</v>
      </c>
      <c r="B11" s="8">
        <v>167.10009803280144</v>
      </c>
      <c r="C11" s="9">
        <f t="shared" si="16"/>
        <v>2.6228499320557708E-2</v>
      </c>
      <c r="D11" s="9">
        <f t="shared" si="23"/>
        <v>6.5087143593863583E-2</v>
      </c>
      <c r="E11" s="8">
        <v>137.64433475832183</v>
      </c>
      <c r="F11" s="9">
        <f t="shared" si="17"/>
        <v>-9.5585472867981691E-3</v>
      </c>
      <c r="G11" s="9">
        <f t="shared" si="18"/>
        <v>4.1759869038926922E-2</v>
      </c>
      <c r="H11" s="8">
        <v>194.01570000000001</v>
      </c>
      <c r="I11" s="8">
        <v>0</v>
      </c>
      <c r="J11" s="8">
        <v>33.76</v>
      </c>
      <c r="K11" s="8">
        <f t="shared" si="0"/>
        <v>29.455763274479608</v>
      </c>
      <c r="L11" s="8">
        <f t="shared" si="1"/>
        <v>198.31993672552039</v>
      </c>
      <c r="M11" s="8">
        <f>H11-77.343-30</f>
        <v>86.672700000000006</v>
      </c>
      <c r="N11" s="8">
        <f t="shared" si="2"/>
        <v>10.536408061501451</v>
      </c>
      <c r="O11" s="8">
        <f t="shared" si="3"/>
        <v>90.976936725520403</v>
      </c>
      <c r="P11" s="8">
        <f t="shared" si="4"/>
        <v>2012.1761434302898</v>
      </c>
      <c r="Q11" s="8">
        <f>(1+$Q$3)*(Q12-120.543)</f>
        <v>585.35600341674728</v>
      </c>
      <c r="R11" s="8">
        <f t="shared" si="5"/>
        <v>2597.532146847037</v>
      </c>
      <c r="S11" s="8">
        <f t="shared" si="6"/>
        <v>2525.4621434302899</v>
      </c>
      <c r="T11" s="9">
        <f t="shared" si="7"/>
        <v>0.43722136792577632</v>
      </c>
      <c r="U11" s="9">
        <f t="shared" si="19"/>
        <v>2.7258241816732198E-2</v>
      </c>
      <c r="V11" s="9">
        <f t="shared" si="20"/>
        <v>5.2352381911876522E-2</v>
      </c>
      <c r="W11" s="9">
        <f t="shared" si="8"/>
        <v>4.8934111114315879E-2</v>
      </c>
      <c r="X11" s="9">
        <f t="shared" si="9"/>
        <v>5.299042590306291E-2</v>
      </c>
      <c r="Y11" s="9">
        <f t="shared" si="10"/>
        <v>1.5396218054326973E-2</v>
      </c>
      <c r="Z11" s="9">
        <f t="shared" si="11"/>
        <v>6.4330329168642855E-2</v>
      </c>
      <c r="AC11" s="8">
        <v>6.9169999999999998</v>
      </c>
      <c r="AD11" s="9">
        <f t="shared" si="21"/>
        <v>0.15379482902418684</v>
      </c>
      <c r="AE11" s="8">
        <v>190.4</v>
      </c>
      <c r="AF11" s="9">
        <f t="shared" si="22"/>
        <v>0.13875598086124419</v>
      </c>
      <c r="AG11" s="9">
        <f t="shared" si="12"/>
        <v>3.6328781512605039E-2</v>
      </c>
      <c r="AH11" s="9">
        <f t="shared" si="13"/>
        <v>1.4124629080118694</v>
      </c>
      <c r="AJ11" s="8">
        <v>1.490994518402506</v>
      </c>
      <c r="AK11" s="8">
        <v>1.1412725109287403</v>
      </c>
      <c r="AL11" s="8">
        <f t="shared" si="14"/>
        <v>4539.1360000000004</v>
      </c>
      <c r="AM11" s="8">
        <f t="shared" si="15"/>
        <v>2597.532146847037</v>
      </c>
    </row>
    <row r="12" spans="1:39">
      <c r="A12" s="8">
        <v>1782</v>
      </c>
      <c r="B12" s="8">
        <v>182.03916955437722</v>
      </c>
      <c r="C12" s="9">
        <f t="shared" si="16"/>
        <v>8.9401931521567723E-2</v>
      </c>
      <c r="D12" s="9">
        <f t="shared" si="23"/>
        <v>5.734351529779369E-2</v>
      </c>
      <c r="E12" s="8">
        <v>150.4560334277846</v>
      </c>
      <c r="F12" s="9">
        <f t="shared" si="17"/>
        <v>9.3078285364652125E-2</v>
      </c>
      <c r="G12" s="9">
        <f t="shared" si="18"/>
        <v>0.10086432537633616</v>
      </c>
      <c r="H12" s="8">
        <v>161.42619999999999</v>
      </c>
      <c r="I12" s="8">
        <v>8.1440000000000001</v>
      </c>
      <c r="J12" s="8">
        <v>24.25</v>
      </c>
      <c r="K12" s="8">
        <f t="shared" si="0"/>
        <v>31.58313612659262</v>
      </c>
      <c r="L12" s="8">
        <f t="shared" si="1"/>
        <v>162.23706387340738</v>
      </c>
      <c r="M12" s="8">
        <f>H12-145.109-7.535</f>
        <v>8.7821999999999854</v>
      </c>
      <c r="N12" s="8">
        <f t="shared" si="2"/>
        <v>12.51988015078728</v>
      </c>
      <c r="O12" s="8">
        <f t="shared" si="3"/>
        <v>9.5930638734073668</v>
      </c>
      <c r="P12" s="8">
        <f t="shared" si="4"/>
        <v>2103.1530801558101</v>
      </c>
      <c r="Q12" s="8">
        <f>(1+$Q$3)*(Q13-152.644)</f>
        <v>695.54889726596002</v>
      </c>
      <c r="R12" s="8">
        <f t="shared" si="5"/>
        <v>2798.7019774217702</v>
      </c>
      <c r="S12" s="8">
        <f t="shared" si="6"/>
        <v>2723.7820801558105</v>
      </c>
      <c r="T12" s="9">
        <f t="shared" si="7"/>
        <v>0.47108264221877971</v>
      </c>
      <c r="U12" s="9">
        <f t="shared" si="19"/>
        <v>7.7446522007020846E-2</v>
      </c>
      <c r="V12" s="9">
        <f t="shared" si="20"/>
        <v>6.5510421276142483E-2</v>
      </c>
      <c r="W12" s="9">
        <f t="shared" si="8"/>
        <v>4.9285759752121711E-2</v>
      </c>
      <c r="X12" s="9">
        <f t="shared" si="9"/>
        <v>5.3759219324377022E-2</v>
      </c>
      <c r="Y12" s="9">
        <f t="shared" si="10"/>
        <v>1.5758382504881291E-2</v>
      </c>
      <c r="Z12" s="9">
        <f t="shared" si="11"/>
        <v>6.5044142257003001E-2</v>
      </c>
      <c r="AC12" s="8">
        <v>7.3639999999999999</v>
      </c>
      <c r="AD12" s="9">
        <f t="shared" si="21"/>
        <v>6.4623391643776174E-2</v>
      </c>
      <c r="AE12" s="8">
        <v>214.3</v>
      </c>
      <c r="AF12" s="9">
        <f t="shared" si="22"/>
        <v>0.12552521008403361</v>
      </c>
      <c r="AG12" s="9">
        <f t="shared" si="12"/>
        <v>3.4363042463835744E-2</v>
      </c>
      <c r="AH12" s="9">
        <f t="shared" si="13"/>
        <v>1.5897626112759644</v>
      </c>
      <c r="AJ12" s="8">
        <v>1.6781519185591229</v>
      </c>
      <c r="AK12" s="8">
        <v>1.2296151075322457</v>
      </c>
      <c r="AL12" s="8">
        <f t="shared" si="14"/>
        <v>5108.9120000000003</v>
      </c>
      <c r="AM12" s="8">
        <f t="shared" si="15"/>
        <v>2798.7019774217702</v>
      </c>
    </row>
    <row r="13" spans="1:39">
      <c r="A13" s="8">
        <v>1783</v>
      </c>
      <c r="B13" s="8">
        <v>201.79458297667702</v>
      </c>
      <c r="C13" s="9">
        <f t="shared" si="16"/>
        <v>0.10852287159219665</v>
      </c>
      <c r="D13" s="9">
        <f t="shared" si="23"/>
        <v>9.8920814912691446E-2</v>
      </c>
      <c r="E13" s="8">
        <v>166.80313643454559</v>
      </c>
      <c r="F13" s="9">
        <f t="shared" si="17"/>
        <v>0.1086503653880202</v>
      </c>
      <c r="G13" s="9">
        <f t="shared" si="18"/>
        <v>7.1653481907818506E-2</v>
      </c>
      <c r="H13" s="8">
        <v>114.90568</v>
      </c>
      <c r="I13" s="8">
        <v>8.1440000000000001</v>
      </c>
      <c r="J13" s="8">
        <v>20</v>
      </c>
      <c r="K13" s="8">
        <f t="shared" si="0"/>
        <v>34.991446542131428</v>
      </c>
      <c r="L13" s="8">
        <f t="shared" si="1"/>
        <v>108.05823345786858</v>
      </c>
      <c r="M13" s="8">
        <f>H13</f>
        <v>114.90568</v>
      </c>
      <c r="N13" s="8">
        <f t="shared" si="2"/>
        <v>15.046099024348997</v>
      </c>
      <c r="O13" s="8">
        <f t="shared" si="3"/>
        <v>108.0582334578686</v>
      </c>
      <c r="P13" s="8">
        <f t="shared" si="4"/>
        <v>2112.7461440292177</v>
      </c>
      <c r="Q13" s="8">
        <f>(1+$Q$3)*(Q14-11)</f>
        <v>835.89439024161106</v>
      </c>
      <c r="R13" s="8">
        <f t="shared" si="5"/>
        <v>2948.6405342708285</v>
      </c>
      <c r="S13" s="8">
        <f t="shared" si="6"/>
        <v>2886.0191440292178</v>
      </c>
      <c r="T13" s="9">
        <f t="shared" si="7"/>
        <v>0.49632057469631857</v>
      </c>
      <c r="U13" s="9">
        <f t="shared" si="19"/>
        <v>5.357432054526412E-2</v>
      </c>
      <c r="V13" s="9">
        <f t="shared" si="20"/>
        <v>4.4469575993570265E-2</v>
      </c>
      <c r="W13" s="9">
        <f t="shared" si="8"/>
        <v>5.1466781266277586E-2</v>
      </c>
      <c r="X13" s="9">
        <f t="shared" si="9"/>
        <v>5.6569505335038898E-2</v>
      </c>
      <c r="Y13" s="9">
        <f t="shared" si="10"/>
        <v>1.6969700099050643E-2</v>
      </c>
      <c r="Z13" s="9">
        <f t="shared" si="11"/>
        <v>6.8436481365328219E-2</v>
      </c>
      <c r="AC13" s="8">
        <v>8.0540000000000003</v>
      </c>
      <c r="AD13" s="9">
        <f t="shared" si="21"/>
        <v>9.3699076588810382E-2</v>
      </c>
      <c r="AE13" s="8">
        <v>231.8</v>
      </c>
      <c r="AF13" s="9">
        <f t="shared" si="22"/>
        <v>8.1661222585160953E-2</v>
      </c>
      <c r="AG13" s="9">
        <f t="shared" si="12"/>
        <v>3.4745470232959444E-2</v>
      </c>
      <c r="AH13" s="9">
        <f t="shared" si="13"/>
        <v>1.7195845697329377</v>
      </c>
      <c r="AJ13" s="8">
        <v>1.8151918559122946</v>
      </c>
      <c r="AK13" s="8">
        <v>1.2955149722480459</v>
      </c>
      <c r="AL13" s="8">
        <f t="shared" si="14"/>
        <v>5526.1120000000001</v>
      </c>
      <c r="AM13" s="8">
        <f t="shared" si="15"/>
        <v>2948.6405342708285</v>
      </c>
    </row>
    <row r="14" spans="1:39">
      <c r="A14" s="8">
        <v>1784</v>
      </c>
      <c r="B14" s="8">
        <v>211.14612809365329</v>
      </c>
      <c r="C14" s="9">
        <f t="shared" si="16"/>
        <v>4.634190362809254E-2</v>
      </c>
      <c r="D14" s="9">
        <f t="shared" si="23"/>
        <v>7.6983719318476362E-2</v>
      </c>
      <c r="E14" s="8">
        <v>172.58396575042462</v>
      </c>
      <c r="F14" s="9">
        <f t="shared" si="17"/>
        <v>3.4656598427616814E-2</v>
      </c>
      <c r="G14" s="9">
        <f t="shared" si="18"/>
        <v>4.5086706651146113E-2</v>
      </c>
      <c r="H14" s="8">
        <f>264.7146-125</f>
        <v>139.71460000000002</v>
      </c>
      <c r="I14" s="8">
        <v>8.1440000000000001</v>
      </c>
      <c r="J14" s="8">
        <v>20</v>
      </c>
      <c r="K14" s="8">
        <f t="shared" si="0"/>
        <v>38.562162343228664</v>
      </c>
      <c r="L14" s="8">
        <f t="shared" si="1"/>
        <v>129.29643765677136</v>
      </c>
      <c r="M14" s="8">
        <f>H14-100</f>
        <v>39.714600000000019</v>
      </c>
      <c r="N14" s="8">
        <f t="shared" si="2"/>
        <v>14.978057980696461</v>
      </c>
      <c r="O14" s="8">
        <f t="shared" si="3"/>
        <v>29.29643765677136</v>
      </c>
      <c r="P14" s="8">
        <f t="shared" si="4"/>
        <v>2220.8043774870862</v>
      </c>
      <c r="Q14" s="8">
        <f>(1+$Q$3)*(Q15-100.99)</f>
        <v>832.11433226091458</v>
      </c>
      <c r="R14" s="8">
        <f t="shared" si="5"/>
        <v>3052.9187097480008</v>
      </c>
      <c r="S14" s="8">
        <f t="shared" si="6"/>
        <v>2994.0773774870863</v>
      </c>
      <c r="T14" s="9">
        <f t="shared" si="7"/>
        <v>0.51387286816158906</v>
      </c>
      <c r="U14" s="9">
        <f t="shared" si="19"/>
        <v>3.536483144187641E-2</v>
      </c>
      <c r="V14" s="9">
        <f t="shared" si="20"/>
        <v>3.6610731314048239E-2</v>
      </c>
      <c r="W14" s="9">
        <f t="shared" si="8"/>
        <v>5.1624665690079098E-2</v>
      </c>
      <c r="X14" s="9">
        <f t="shared" si="9"/>
        <v>5.653080941833212E-2</v>
      </c>
      <c r="Y14" s="9">
        <f t="shared" si="10"/>
        <v>1.7537388124017405E-2</v>
      </c>
      <c r="Z14" s="9">
        <f t="shared" si="11"/>
        <v>6.91620538140965E-2</v>
      </c>
      <c r="AC14" s="8">
        <v>8.6780000000000008</v>
      </c>
      <c r="AD14" s="9">
        <f t="shared" si="21"/>
        <v>7.747703004718165E-2</v>
      </c>
      <c r="AE14" s="8">
        <v>242.9</v>
      </c>
      <c r="AF14" s="9">
        <f t="shared" si="22"/>
        <v>4.7886108714408904E-2</v>
      </c>
      <c r="AG14" s="9">
        <f t="shared" si="12"/>
        <v>3.5726636475916014E-2</v>
      </c>
      <c r="AH14" s="9">
        <f t="shared" si="13"/>
        <v>1.8019287833827893</v>
      </c>
      <c r="AJ14" s="8">
        <v>1.9021143304620203</v>
      </c>
      <c r="AK14" s="8">
        <v>1.3412239816946101</v>
      </c>
      <c r="AL14" s="8">
        <f t="shared" si="14"/>
        <v>5790.7359999999999</v>
      </c>
      <c r="AM14" s="8">
        <f t="shared" si="15"/>
        <v>3052.9187097480008</v>
      </c>
    </row>
    <row r="15" spans="1:39">
      <c r="A15" s="8">
        <v>1785</v>
      </c>
      <c r="B15" s="8">
        <v>239.41691625606532</v>
      </c>
      <c r="C15" s="9">
        <f t="shared" si="16"/>
        <v>0.13389205105325264</v>
      </c>
      <c r="D15" s="9">
        <f t="shared" si="23"/>
        <v>8.9237700048902413E-2</v>
      </c>
      <c r="E15" s="8">
        <v>182.16527782732828</v>
      </c>
      <c r="F15" s="9">
        <f t="shared" si="17"/>
        <v>5.5516814874675413E-2</v>
      </c>
      <c r="G15" s="9">
        <f t="shared" si="18"/>
        <v>5.3011180221885112E-2</v>
      </c>
      <c r="H15" s="8">
        <f>101.1656+125-80</f>
        <v>146.16559999999998</v>
      </c>
      <c r="I15" s="8">
        <v>8.1440000000000001</v>
      </c>
      <c r="J15" s="8">
        <v>20</v>
      </c>
      <c r="K15" s="8">
        <f t="shared" si="0"/>
        <v>57.251638428737039</v>
      </c>
      <c r="L15" s="8">
        <f t="shared" si="1"/>
        <v>117.05796157126295</v>
      </c>
      <c r="M15" s="8">
        <f>H15</f>
        <v>146.16559999999998</v>
      </c>
      <c r="N15" s="8">
        <f t="shared" si="2"/>
        <v>16.531040020330511</v>
      </c>
      <c r="O15" s="8">
        <f t="shared" si="3"/>
        <v>117.05796157126295</v>
      </c>
      <c r="P15" s="8">
        <f t="shared" si="4"/>
        <v>2250.1008151438577</v>
      </c>
      <c r="Q15" s="8">
        <f>(1+$Q$3)*(Q16-0.22)</f>
        <v>918.39111224058411</v>
      </c>
      <c r="R15" s="8">
        <f t="shared" si="5"/>
        <v>3168.4919273844416</v>
      </c>
      <c r="S15" s="8">
        <f t="shared" si="6"/>
        <v>3123.3738151438579</v>
      </c>
      <c r="T15" s="9">
        <f t="shared" si="7"/>
        <v>0.53332636380818743</v>
      </c>
      <c r="U15" s="9">
        <f t="shared" si="19"/>
        <v>3.7856631186220069E-2</v>
      </c>
      <c r="V15" s="9">
        <f t="shared" si="20"/>
        <v>3.487268616975947E-2</v>
      </c>
      <c r="W15" s="9">
        <f t="shared" si="8"/>
        <v>5.2275417328813321E-2</v>
      </c>
      <c r="X15" s="9">
        <f t="shared" si="9"/>
        <v>5.7492738502163042E-2</v>
      </c>
      <c r="Y15" s="9">
        <f t="shared" si="10"/>
        <v>2.328637097395871E-2</v>
      </c>
      <c r="Z15" s="9">
        <f t="shared" si="11"/>
        <v>7.5561788302772034E-2</v>
      </c>
      <c r="AC15" s="8">
        <v>9.2289999999999992</v>
      </c>
      <c r="AD15" s="9">
        <f t="shared" si="21"/>
        <v>6.3493892601981905E-2</v>
      </c>
      <c r="AE15" s="8">
        <v>245.05</v>
      </c>
      <c r="AF15" s="9">
        <f t="shared" si="22"/>
        <v>8.8513791683819676E-3</v>
      </c>
      <c r="AG15" s="9">
        <f t="shared" si="12"/>
        <v>3.7661701693531925E-2</v>
      </c>
      <c r="AH15" s="9">
        <f t="shared" si="13"/>
        <v>1.8178783382789316</v>
      </c>
      <c r="AJ15" s="8">
        <v>1.918950665622553</v>
      </c>
      <c r="AK15" s="8">
        <v>1.4471839175545207</v>
      </c>
      <c r="AL15" s="8">
        <f t="shared" si="14"/>
        <v>5841.9920000000002</v>
      </c>
      <c r="AM15" s="8">
        <f t="shared" si="15"/>
        <v>3168.4919273844416</v>
      </c>
    </row>
    <row r="16" spans="1:39">
      <c r="A16" s="8">
        <v>1786</v>
      </c>
      <c r="B16" s="8">
        <v>241.94579463678301</v>
      </c>
      <c r="C16" s="9">
        <f t="shared" si="16"/>
        <v>1.056265538903256E-2</v>
      </c>
      <c r="D16" s="9">
        <f t="shared" si="23"/>
        <v>7.0452690237588822E-2</v>
      </c>
      <c r="E16" s="8">
        <v>191.36563456774323</v>
      </c>
      <c r="F16" s="9">
        <f t="shared" si="17"/>
        <v>5.0505545569094812E-2</v>
      </c>
      <c r="G16" s="9">
        <f t="shared" si="18"/>
        <v>7.819378986786818E-2</v>
      </c>
      <c r="H16" s="8">
        <f>148.5748+80</f>
        <v>228.57480000000001</v>
      </c>
      <c r="I16" s="8">
        <v>8.1440000000000001</v>
      </c>
      <c r="J16" s="8">
        <v>19</v>
      </c>
      <c r="K16" s="8">
        <f t="shared" si="0"/>
        <v>50.580160069039778</v>
      </c>
      <c r="L16" s="8">
        <f t="shared" si="1"/>
        <v>205.13863993096024</v>
      </c>
      <c r="M16" s="8">
        <f>H16-52.585-36.739</f>
        <v>139.2508</v>
      </c>
      <c r="N16" s="8">
        <f t="shared" si="2"/>
        <v>16.242702652584001</v>
      </c>
      <c r="O16" s="8">
        <f t="shared" si="3"/>
        <v>115.81463993096023</v>
      </c>
      <c r="P16" s="8">
        <f t="shared" si="4"/>
        <v>2367.1587767151209</v>
      </c>
      <c r="Q16" s="8">
        <f>(1+$Q$3)*(Q17-103.524)</f>
        <v>902.37236958800008</v>
      </c>
      <c r="R16" s="8">
        <f t="shared" si="5"/>
        <v>3269.5311463031212</v>
      </c>
      <c r="S16" s="8">
        <f t="shared" si="6"/>
        <v>3240.431776715121</v>
      </c>
      <c r="T16" s="9">
        <f t="shared" si="7"/>
        <v>0.55033347017389689</v>
      </c>
      <c r="U16" s="9">
        <f t="shared" si="19"/>
        <v>3.1888741153298872E-2</v>
      </c>
      <c r="V16" s="9">
        <f t="shared" si="20"/>
        <v>4.7047168996680822E-2</v>
      </c>
      <c r="W16" s="9">
        <f t="shared" si="8"/>
        <v>5.3562093180599242E-2</v>
      </c>
      <c r="X16" s="9">
        <f t="shared" si="9"/>
        <v>5.8529992835248415E-2</v>
      </c>
      <c r="Y16" s="9">
        <f t="shared" si="10"/>
        <v>2.0438056629979131E-2</v>
      </c>
      <c r="Z16" s="9">
        <f t="shared" si="11"/>
        <v>7.4000149810578369E-2</v>
      </c>
      <c r="AC16" s="8">
        <v>9.4809999999999999</v>
      </c>
      <c r="AD16" s="9">
        <f t="shared" si="21"/>
        <v>2.7305233503088111E-2</v>
      </c>
      <c r="AE16" s="8">
        <v>246.2</v>
      </c>
      <c r="AF16" s="9">
        <f t="shared" si="22"/>
        <v>4.6929198122831473E-3</v>
      </c>
      <c r="AG16" s="9">
        <f t="shared" si="12"/>
        <v>3.8509341998375309E-2</v>
      </c>
      <c r="AH16" s="9">
        <f t="shared" si="13"/>
        <v>1.8264094955489611</v>
      </c>
      <c r="AJ16" s="8">
        <v>1.9279561472200468</v>
      </c>
      <c r="AK16" s="8">
        <v>1.4719251437957024</v>
      </c>
      <c r="AL16" s="8">
        <f t="shared" si="14"/>
        <v>5869.4079999999994</v>
      </c>
      <c r="AM16" s="8">
        <f t="shared" si="15"/>
        <v>3269.5311463031212</v>
      </c>
    </row>
    <row r="17" spans="1:39">
      <c r="A17" s="8">
        <v>1787</v>
      </c>
      <c r="B17" s="8">
        <v>260.89293387144767</v>
      </c>
      <c r="C17" s="9">
        <f t="shared" si="16"/>
        <v>7.831150470339332E-2</v>
      </c>
      <c r="D17" s="9">
        <f t="shared" si="23"/>
        <v>4.3887607709567789E-2</v>
      </c>
      <c r="E17" s="8">
        <v>211.62781722536607</v>
      </c>
      <c r="F17" s="9">
        <f t="shared" si="17"/>
        <v>0.10588203416664155</v>
      </c>
      <c r="G17" s="9">
        <f t="shared" si="18"/>
        <v>4.8911033232497236E-2</v>
      </c>
      <c r="H17" s="8">
        <f>303.7947-120</f>
        <v>183.79469999999998</v>
      </c>
      <c r="I17" s="8">
        <v>8.1440000000000001</v>
      </c>
      <c r="J17" s="8">
        <v>-15</v>
      </c>
      <c r="K17" s="8">
        <f t="shared" si="0"/>
        <v>49.265116646081594</v>
      </c>
      <c r="L17" s="8">
        <f t="shared" si="1"/>
        <v>127.67358335391839</v>
      </c>
      <c r="M17" s="8">
        <f>H17-67.403</f>
        <v>116.39169999999997</v>
      </c>
      <c r="N17" s="8">
        <f t="shared" si="2"/>
        <v>17.818935587999999</v>
      </c>
      <c r="O17" s="8">
        <f t="shared" si="3"/>
        <v>60.270583353918383</v>
      </c>
      <c r="P17" s="8">
        <f t="shared" si="4"/>
        <v>2482.9734166460812</v>
      </c>
      <c r="Q17" s="8">
        <f>(1+$Q$3)*(Q18-76.103)</f>
        <v>989.94086600000003</v>
      </c>
      <c r="R17" s="8">
        <f t="shared" si="5"/>
        <v>3472.9142826460811</v>
      </c>
      <c r="S17" s="8">
        <f t="shared" si="6"/>
        <v>3445.5704166460814</v>
      </c>
      <c r="T17" s="9">
        <f t="shared" si="7"/>
        <v>0.58456729214712688</v>
      </c>
      <c r="U17" s="9">
        <f t="shared" si="19"/>
        <v>6.2205596840062771E-2</v>
      </c>
      <c r="V17" s="9">
        <f t="shared" si="20"/>
        <v>4.8216626703658005E-2</v>
      </c>
      <c r="W17" s="9">
        <f t="shared" si="8"/>
        <v>5.5805835060720045E-2</v>
      </c>
      <c r="X17" s="9">
        <f t="shared" si="9"/>
        <v>6.0936665866720648E-2</v>
      </c>
      <c r="Y17" s="9">
        <f t="shared" si="10"/>
        <v>1.9316357034579314E-2</v>
      </c>
      <c r="Z17" s="9">
        <f t="shared" si="11"/>
        <v>7.5122192095299356E-2</v>
      </c>
      <c r="AC17" s="8">
        <v>9.2919999999999998</v>
      </c>
      <c r="AD17" s="9">
        <f t="shared" si="21"/>
        <v>-1.993460605421371E-2</v>
      </c>
      <c r="AE17" s="8">
        <v>245.8</v>
      </c>
      <c r="AF17" s="9">
        <f t="shared" si="22"/>
        <v>-1.6246953696180677E-3</v>
      </c>
      <c r="AG17" s="9">
        <f t="shared" si="12"/>
        <v>3.7803091944670464E-2</v>
      </c>
      <c r="AH17" s="9">
        <f t="shared" si="13"/>
        <v>1.8234421364985163</v>
      </c>
      <c r="AJ17" s="8">
        <v>1.9248238057948317</v>
      </c>
      <c r="AK17" s="8">
        <v>1.5267864021495914</v>
      </c>
      <c r="AL17" s="8">
        <f t="shared" si="14"/>
        <v>5859.8720000000003</v>
      </c>
      <c r="AM17" s="8">
        <f t="shared" si="15"/>
        <v>3472.9142826460811</v>
      </c>
    </row>
    <row r="18" spans="1:39">
      <c r="A18" s="8">
        <v>1788</v>
      </c>
      <c r="B18" s="8">
        <v>271.53700144951767</v>
      </c>
      <c r="C18" s="9">
        <f t="shared" si="16"/>
        <v>4.0798604316798937E-2</v>
      </c>
      <c r="D18" s="9">
        <f t="shared" si="23"/>
        <v>5.938902633264953E-2</v>
      </c>
      <c r="E18" s="8">
        <v>209.92210385375955</v>
      </c>
      <c r="F18" s="9">
        <f t="shared" si="17"/>
        <v>-8.059967701647075E-3</v>
      </c>
      <c r="G18" s="9">
        <f t="shared" si="18"/>
        <v>1.7700371463132081E-2</v>
      </c>
      <c r="H18" s="8">
        <f>43.2206+120+33.6</f>
        <v>196.82059999999998</v>
      </c>
      <c r="J18" s="8">
        <v>22</v>
      </c>
      <c r="K18" s="8">
        <f t="shared" si="0"/>
        <v>61.614897595758123</v>
      </c>
      <c r="L18" s="8">
        <f t="shared" si="1"/>
        <v>157.20570240424186</v>
      </c>
      <c r="M18" s="8">
        <f>H18-4-120</f>
        <v>72.820599999999985</v>
      </c>
      <c r="N18" s="8">
        <f t="shared" si="2"/>
        <v>18.873719999999999</v>
      </c>
      <c r="O18" s="8">
        <f t="shared" si="3"/>
        <v>33.205702404241862</v>
      </c>
      <c r="P18" s="8">
        <f>3686.044-1022.8-120</f>
        <v>2543.2439999999997</v>
      </c>
      <c r="Q18" s="8">
        <f>(1+$Q$3)*(Q19-124)</f>
        <v>1048.54</v>
      </c>
      <c r="R18" s="8">
        <f t="shared" si="5"/>
        <v>3591.7839999999997</v>
      </c>
      <c r="S18" s="8">
        <f t="shared" si="6"/>
        <v>3573.2439999999997</v>
      </c>
      <c r="T18" s="9">
        <f t="shared" si="7"/>
        <v>0.60457566066318791</v>
      </c>
      <c r="U18" s="9">
        <f t="shared" si="19"/>
        <v>3.422765656725324E-2</v>
      </c>
      <c r="V18" s="9">
        <f t="shared" si="20"/>
        <v>3.6417007762715836E-2</v>
      </c>
      <c r="W18" s="9">
        <f t="shared" si="8"/>
        <v>5.3190387799978943E-2</v>
      </c>
      <c r="X18" s="9">
        <f t="shared" si="9"/>
        <v>5.844508017568973E-2</v>
      </c>
      <c r="Y18" s="9">
        <f t="shared" si="10"/>
        <v>2.240909185957678E-2</v>
      </c>
      <c r="Z18" s="9">
        <f t="shared" si="11"/>
        <v>7.5599479659555727E-2</v>
      </c>
      <c r="AC18" s="8">
        <v>9.407</v>
      </c>
      <c r="AD18" s="9">
        <f t="shared" si="21"/>
        <v>1.2376237623762387E-2</v>
      </c>
      <c r="AE18" s="8">
        <v>245.1</v>
      </c>
      <c r="AF18" s="9">
        <f t="shared" si="22"/>
        <v>-2.847843775427239E-3</v>
      </c>
      <c r="AG18" s="9">
        <f t="shared" si="12"/>
        <v>3.8380252957976334E-2</v>
      </c>
      <c r="AH18" s="9">
        <f t="shared" si="13"/>
        <v>1.8182492581602372</v>
      </c>
      <c r="AJ18" s="8">
        <v>1.9193422083007048</v>
      </c>
      <c r="AK18" s="8">
        <v>1.5796223384232122</v>
      </c>
      <c r="AL18" s="8">
        <f t="shared" si="14"/>
        <v>5843.1840000000002</v>
      </c>
      <c r="AM18" s="8">
        <f t="shared" si="15"/>
        <v>3591.7839999999997</v>
      </c>
    </row>
    <row r="19" spans="1:39">
      <c r="A19" s="8">
        <v>1789</v>
      </c>
      <c r="B19" s="8">
        <v>282.27027848184741</v>
      </c>
      <c r="C19" s="9">
        <f t="shared" si="16"/>
        <v>3.9527861672749687E-2</v>
      </c>
      <c r="D19" s="9">
        <f t="shared" si="23"/>
        <v>4.0163038940253859E-2</v>
      </c>
      <c r="E19" s="8">
        <v>219.04546766375012</v>
      </c>
      <c r="F19" s="9">
        <f t="shared" si="17"/>
        <v>4.3460710627911237E-2</v>
      </c>
      <c r="G19" s="9">
        <f>F19</f>
        <v>4.3460710627911237E-2</v>
      </c>
      <c r="K19" s="8">
        <f t="shared" si="0"/>
        <v>63.224810818097296</v>
      </c>
      <c r="L19" s="8">
        <f t="shared" si="1"/>
        <v>-63.224810818097296</v>
      </c>
      <c r="N19" s="8">
        <f t="shared" si="2"/>
        <v>20.771999999999998</v>
      </c>
      <c r="O19" s="8">
        <f t="shared" si="3"/>
        <v>-63.224810818097296</v>
      </c>
      <c r="P19" s="8">
        <f t="shared" ref="P19:P50" si="24">P18+O18</f>
        <v>2576.4497024042416</v>
      </c>
      <c r="Q19" s="8">
        <v>1154</v>
      </c>
      <c r="R19" s="8">
        <f t="shared" si="5"/>
        <v>3730.4497024042416</v>
      </c>
      <c r="S19" s="8">
        <f>R19</f>
        <v>3730.4497024042416</v>
      </c>
      <c r="T19" s="9">
        <f t="shared" si="7"/>
        <v>0.62791612563612886</v>
      </c>
      <c r="U19" s="9">
        <f t="shared" si="19"/>
        <v>3.8606358958178433E-2</v>
      </c>
      <c r="V19" s="9">
        <f>U19</f>
        <v>3.8606358958178433E-2</v>
      </c>
      <c r="W19" s="9">
        <f t="shared" si="8"/>
        <v>5.3150017687134246E-2</v>
      </c>
      <c r="X19" s="9">
        <f t="shared" si="9"/>
        <v>5.8718247165369171E-2</v>
      </c>
      <c r="Y19" s="9">
        <f t="shared" si="10"/>
        <v>2.2516537554161924E-2</v>
      </c>
      <c r="Z19" s="9">
        <f t="shared" si="11"/>
        <v>7.5666555241296174E-2</v>
      </c>
      <c r="AC19" s="8">
        <v>9.4250000000000007</v>
      </c>
      <c r="AD19" s="9">
        <f t="shared" si="21"/>
        <v>1.9134686935262657E-3</v>
      </c>
      <c r="AE19" s="8">
        <v>244.3</v>
      </c>
      <c r="AF19" s="9">
        <f t="shared" si="22"/>
        <v>-3.2639738882088709E-3</v>
      </c>
      <c r="AG19" s="9">
        <f t="shared" si="12"/>
        <v>3.8579615227179696E-2</v>
      </c>
      <c r="AH19" s="9">
        <f t="shared" si="13"/>
        <v>1.8123145400593472</v>
      </c>
      <c r="AJ19" s="8">
        <v>1.9130775254502741</v>
      </c>
      <c r="AK19" s="8">
        <v>1.6242599837919383</v>
      </c>
      <c r="AL19" s="8">
        <f t="shared" si="14"/>
        <v>5824.1120000000001</v>
      </c>
      <c r="AM19" s="8">
        <f t="shared" si="15"/>
        <v>3730.4497024042416</v>
      </c>
    </row>
    <row r="20" spans="1:39">
      <c r="A20" s="8">
        <v>1790</v>
      </c>
      <c r="B20" s="8">
        <v>282.2504234966745</v>
      </c>
      <c r="C20" s="9">
        <f t="shared" si="16"/>
        <v>-7.0340332250728999E-5</v>
      </c>
      <c r="D20" s="9">
        <f t="shared" si="23"/>
        <v>1.9536532419302644E-2</v>
      </c>
      <c r="E20" s="8">
        <v>219.5449387025815</v>
      </c>
      <c r="F20" s="9">
        <f t="shared" si="17"/>
        <v>2.2802162681498928E-3</v>
      </c>
      <c r="K20" s="8">
        <f t="shared" si="0"/>
        <v>62.705484794092996</v>
      </c>
      <c r="L20" s="8">
        <f t="shared" si="1"/>
        <v>-62.705484794092996</v>
      </c>
      <c r="N20" s="8">
        <f t="shared" ref="N20:N51" si="25">Q20-Q21</f>
        <v>19.733321027872307</v>
      </c>
      <c r="O20" s="8">
        <f t="shared" si="3"/>
        <v>-62.705484794092996</v>
      </c>
      <c r="P20" s="8">
        <f t="shared" si="24"/>
        <v>2513.2248915861442</v>
      </c>
      <c r="Q20" s="8">
        <v>1105.8379792435828</v>
      </c>
      <c r="R20" s="8">
        <f t="shared" si="5"/>
        <v>3619.0628708297272</v>
      </c>
      <c r="U20" s="9">
        <f t="shared" si="19"/>
        <v>-2.9858821445233996E-2</v>
      </c>
      <c r="W20" s="9">
        <f t="shared" si="8"/>
        <v>5.5210872208168969E-2</v>
      </c>
      <c r="X20" s="9">
        <f t="shared" si="9"/>
        <v>6.0663477407964281E-2</v>
      </c>
      <c r="Y20" s="9">
        <f t="shared" si="10"/>
        <v>2.2779047716036199E-2</v>
      </c>
      <c r="Z20" s="9">
        <f t="shared" si="11"/>
        <v>7.7989919924205175E-2</v>
      </c>
      <c r="AC20" s="8">
        <v>9.3699999999999992</v>
      </c>
      <c r="AD20" s="9">
        <f t="shared" si="21"/>
        <v>-5.8355437665783549E-3</v>
      </c>
      <c r="AE20" s="8">
        <v>244</v>
      </c>
      <c r="AF20" s="9">
        <f t="shared" si="22"/>
        <v>-1.2279983626688473E-3</v>
      </c>
      <c r="AG20" s="9">
        <f t="shared" si="12"/>
        <v>3.8401639344262294E-2</v>
      </c>
      <c r="AJ20" s="8">
        <v>1.9107282693813625</v>
      </c>
    </row>
    <row r="21" spans="1:39">
      <c r="A21" s="8">
        <v>1791</v>
      </c>
      <c r="B21" s="8">
        <v>281.65130144383943</v>
      </c>
      <c r="C21" s="9">
        <f t="shared" si="16"/>
        <v>-2.1226613069799116E-3</v>
      </c>
      <c r="D21" s="9">
        <f t="shared" si="23"/>
        <v>-1.0970279003715833E-3</v>
      </c>
      <c r="E21" s="8">
        <v>213.9318487948855</v>
      </c>
      <c r="F21" s="9">
        <f t="shared" si="17"/>
        <v>-2.5566929216710776E-2</v>
      </c>
      <c r="K21" s="8">
        <f t="shared" si="0"/>
        <v>67.719452648953933</v>
      </c>
      <c r="L21" s="8">
        <f t="shared" si="1"/>
        <v>-67.719452648953933</v>
      </c>
      <c r="N21" s="8">
        <f t="shared" si="25"/>
        <v>19.394478636638041</v>
      </c>
      <c r="O21" s="8">
        <f t="shared" si="3"/>
        <v>-67.719452648953933</v>
      </c>
      <c r="P21" s="8">
        <f t="shared" si="24"/>
        <v>2450.5194067920511</v>
      </c>
      <c r="Q21" s="8">
        <v>1086.1046582157105</v>
      </c>
      <c r="R21" s="8">
        <f t="shared" si="5"/>
        <v>3536.6240650077616</v>
      </c>
      <c r="W21" s="9">
        <f t="shared" si="8"/>
        <v>5.5006516548662496E-2</v>
      </c>
      <c r="X21" s="9">
        <f t="shared" si="9"/>
        <v>6.0490412569314457E-2</v>
      </c>
      <c r="Y21" s="9">
        <f t="shared" si="10"/>
        <v>2.4631945517624813E-2</v>
      </c>
      <c r="Z21" s="9">
        <f t="shared" si="11"/>
        <v>7.9638462066287302E-2</v>
      </c>
      <c r="AC21" s="8">
        <v>9.43</v>
      </c>
      <c r="AD21" s="9">
        <f t="shared" si="21"/>
        <v>6.4034151547491813E-3</v>
      </c>
      <c r="AE21" s="8">
        <v>243.2</v>
      </c>
      <c r="AF21" s="9">
        <f t="shared" si="22"/>
        <v>-3.2786885245902342E-3</v>
      </c>
      <c r="AG21" s="9">
        <f t="shared" si="12"/>
        <v>3.8774671052631576E-2</v>
      </c>
    </row>
    <row r="22" spans="1:39">
      <c r="A22" s="8">
        <v>1792</v>
      </c>
      <c r="B22" s="8">
        <v>255.63981065504188</v>
      </c>
      <c r="C22" s="9">
        <f t="shared" si="16"/>
        <v>-9.2353525992792784E-2</v>
      </c>
      <c r="D22" s="9">
        <f t="shared" si="23"/>
        <v>-4.8306851996708255E-2</v>
      </c>
      <c r="E22" s="8">
        <v>206.01780321274865</v>
      </c>
      <c r="F22" s="9">
        <f t="shared" si="17"/>
        <v>-3.6993302431208908E-2</v>
      </c>
      <c r="K22" s="8">
        <f t="shared" si="0"/>
        <v>49.622007442293238</v>
      </c>
      <c r="L22" s="8">
        <f t="shared" si="1"/>
        <v>-49.622007442293238</v>
      </c>
      <c r="N22" s="8">
        <f t="shared" si="25"/>
        <v>18.886591600571364</v>
      </c>
      <c r="O22" s="8">
        <f t="shared" si="3"/>
        <v>-49.622007442293238</v>
      </c>
      <c r="P22" s="8">
        <f t="shared" si="24"/>
        <v>2382.7999541430972</v>
      </c>
      <c r="Q22" s="8">
        <v>1066.7101795790725</v>
      </c>
      <c r="R22" s="8">
        <f t="shared" si="5"/>
        <v>3449.5101337221695</v>
      </c>
      <c r="W22" s="9">
        <f t="shared" si="8"/>
        <v>5.4248633677807079E-2</v>
      </c>
      <c r="X22" s="9">
        <f t="shared" si="9"/>
        <v>5.9723785472822075E-2</v>
      </c>
      <c r="Y22" s="9">
        <f t="shared" si="10"/>
        <v>1.9860384920493301E-2</v>
      </c>
      <c r="Z22" s="9">
        <f t="shared" si="11"/>
        <v>7.410901859830038E-2</v>
      </c>
      <c r="AC22" s="8">
        <v>9.31</v>
      </c>
      <c r="AD22" s="9">
        <f t="shared" si="21"/>
        <v>-1.2725344644750725E-2</v>
      </c>
      <c r="AE22" s="8">
        <v>241.6</v>
      </c>
      <c r="AF22" s="9">
        <f t="shared" si="22"/>
        <v>-6.5789473684210176E-3</v>
      </c>
      <c r="AG22" s="9">
        <f t="shared" si="12"/>
        <v>3.8534768211920534E-2</v>
      </c>
    </row>
    <row r="23" spans="1:39">
      <c r="A23" s="8">
        <v>1793</v>
      </c>
      <c r="B23" s="8">
        <v>247.59891796547939</v>
      </c>
      <c r="C23" s="9">
        <f t="shared" si="16"/>
        <v>-3.1453992509847373E-2</v>
      </c>
      <c r="D23" s="9">
        <f t="shared" si="23"/>
        <v>-6.2398075614072179E-2</v>
      </c>
      <c r="E23" s="8">
        <v>202.10463020323411</v>
      </c>
      <c r="F23" s="9">
        <f t="shared" si="17"/>
        <v>-1.8994343928002699E-2</v>
      </c>
      <c r="K23" s="8">
        <f t="shared" si="0"/>
        <v>45.494287762245278</v>
      </c>
      <c r="L23" s="8">
        <f t="shared" si="1"/>
        <v>-45.494287762245278</v>
      </c>
      <c r="N23" s="8">
        <f t="shared" si="25"/>
        <v>18.627119861954725</v>
      </c>
      <c r="O23" s="8">
        <f t="shared" si="3"/>
        <v>-45.494287762245278</v>
      </c>
      <c r="P23" s="8">
        <f t="shared" si="24"/>
        <v>2333.1779467008041</v>
      </c>
      <c r="Q23" s="8">
        <v>1047.8235879785011</v>
      </c>
      <c r="R23" s="8">
        <f t="shared" si="5"/>
        <v>3381.0015346793052</v>
      </c>
      <c r="W23" s="9">
        <f t="shared" si="8"/>
        <v>5.4267207056645894E-2</v>
      </c>
      <c r="X23" s="9">
        <f t="shared" si="9"/>
        <v>5.9776556777695798E-2</v>
      </c>
      <c r="Y23" s="9">
        <f t="shared" si="10"/>
        <v>1.8965211037764895E-2</v>
      </c>
      <c r="Z23" s="9">
        <f t="shared" si="11"/>
        <v>7.3232418094410792E-2</v>
      </c>
      <c r="AC23" s="8">
        <v>9.1489999999999991</v>
      </c>
      <c r="AD23" s="9">
        <f t="shared" si="21"/>
        <v>-1.7293233082706916E-2</v>
      </c>
      <c r="AE23" s="8">
        <v>242.9</v>
      </c>
      <c r="AF23" s="9">
        <f t="shared" si="22"/>
        <v>5.3807947019868241E-3</v>
      </c>
      <c r="AG23" s="9">
        <f t="shared" si="12"/>
        <v>3.7665706051873193E-2</v>
      </c>
    </row>
    <row r="24" spans="1:39">
      <c r="A24" s="8">
        <v>1794</v>
      </c>
      <c r="B24" s="8">
        <v>241.50505165268001</v>
      </c>
      <c r="C24" s="9">
        <f t="shared" si="16"/>
        <v>-2.4611845491380513E-2</v>
      </c>
      <c r="D24" s="9">
        <f t="shared" si="23"/>
        <v>-2.8038939667585527E-2</v>
      </c>
      <c r="E24" s="8">
        <v>198.21571177052192</v>
      </c>
      <c r="F24" s="9">
        <f t="shared" si="17"/>
        <v>-1.9242104591080111E-2</v>
      </c>
      <c r="K24" s="8">
        <f t="shared" si="0"/>
        <v>43.289339882158089</v>
      </c>
      <c r="L24" s="8">
        <f t="shared" si="1"/>
        <v>-43.289339882158089</v>
      </c>
      <c r="N24" s="8">
        <f t="shared" si="25"/>
        <v>18.463851359911928</v>
      </c>
      <c r="O24" s="8">
        <f t="shared" si="3"/>
        <v>-43.289339882158089</v>
      </c>
      <c r="P24" s="8">
        <f t="shared" si="24"/>
        <v>2287.6836589385589</v>
      </c>
      <c r="Q24" s="8">
        <v>1029.1964681165464</v>
      </c>
      <c r="R24" s="8">
        <f t="shared" si="5"/>
        <v>3316.8801270551053</v>
      </c>
      <c r="W24" s="9">
        <f t="shared" si="8"/>
        <v>5.4193052966976782E-2</v>
      </c>
      <c r="X24" s="9">
        <f t="shared" si="9"/>
        <v>5.9759685058774763E-2</v>
      </c>
      <c r="Y24" s="9">
        <f t="shared" si="10"/>
        <v>1.8617854392253132E-2</v>
      </c>
      <c r="Z24" s="9">
        <f t="shared" si="11"/>
        <v>7.2810907359229918E-2</v>
      </c>
      <c r="AC24" s="8">
        <v>9.7970000000000006</v>
      </c>
      <c r="AD24" s="9">
        <f t="shared" si="21"/>
        <v>7.0827412832003667E-2</v>
      </c>
      <c r="AE24" s="8">
        <v>249.6</v>
      </c>
      <c r="AF24" s="9">
        <f t="shared" si="22"/>
        <v>2.7583367641004441E-2</v>
      </c>
      <c r="AG24" s="9">
        <f t="shared" si="12"/>
        <v>3.9250801282051287E-2</v>
      </c>
    </row>
    <row r="25" spans="1:39">
      <c r="A25" s="8">
        <v>1795</v>
      </c>
      <c r="B25" s="8">
        <v>234.49911860962681</v>
      </c>
      <c r="C25" s="9">
        <f t="shared" si="16"/>
        <v>-2.9009467897709973E-2</v>
      </c>
      <c r="D25" s="9">
        <f t="shared" si="23"/>
        <v>-2.6813140680272518E-2</v>
      </c>
      <c r="E25" s="8">
        <v>194.46969293197256</v>
      </c>
      <c r="K25" s="8">
        <f t="shared" si="0"/>
        <v>40.029425677654245</v>
      </c>
      <c r="L25" s="8">
        <f t="shared" si="1"/>
        <v>-40.029425677654245</v>
      </c>
      <c r="N25" s="8">
        <f t="shared" si="25"/>
        <v>18.410795385464212</v>
      </c>
      <c r="O25" s="8">
        <f t="shared" si="3"/>
        <v>-40.029425677654245</v>
      </c>
      <c r="P25" s="8">
        <f t="shared" si="24"/>
        <v>2244.3943190564009</v>
      </c>
      <c r="Q25" s="8">
        <v>1010.7326167566345</v>
      </c>
      <c r="R25" s="8">
        <f t="shared" si="5"/>
        <v>3255.1269358130353</v>
      </c>
      <c r="W25" s="9">
        <f t="shared" si="8"/>
        <v>5.4086645780077387E-2</v>
      </c>
      <c r="X25" s="9">
        <f t="shared" si="9"/>
        <v>5.9742583551015881E-2</v>
      </c>
      <c r="Y25" s="9">
        <f t="shared" si="10"/>
        <v>1.7953284838190742E-2</v>
      </c>
      <c r="Z25" s="9">
        <f t="shared" si="11"/>
        <v>7.2039930618268133E-2</v>
      </c>
      <c r="AC25" s="8">
        <v>10.47</v>
      </c>
      <c r="AD25" s="9">
        <f t="shared" si="21"/>
        <v>6.869449831581087E-2</v>
      </c>
      <c r="AE25" s="8">
        <v>267.39999999999998</v>
      </c>
      <c r="AF25" s="9">
        <f t="shared" si="22"/>
        <v>7.1314102564102422E-2</v>
      </c>
      <c r="AG25" s="9">
        <f t="shared" si="12"/>
        <v>3.9154824233358268E-2</v>
      </c>
    </row>
    <row r="26" spans="1:39">
      <c r="A26" s="8">
        <v>1796</v>
      </c>
      <c r="B26" s="8">
        <v>230.48551468670388</v>
      </c>
      <c r="C26" s="9">
        <f t="shared" si="16"/>
        <v>-1.7115646091635961E-2</v>
      </c>
      <c r="D26" s="9">
        <f t="shared" si="23"/>
        <v>-2.3080657476525324E-2</v>
      </c>
      <c r="E26" s="8">
        <v>191.45041653950062</v>
      </c>
      <c r="K26" s="8">
        <f t="shared" si="0"/>
        <v>39.035098147203257</v>
      </c>
      <c r="L26" s="8">
        <f t="shared" si="1"/>
        <v>-39.035098147203257</v>
      </c>
      <c r="N26" s="8">
        <f t="shared" si="25"/>
        <v>18.310540879081827</v>
      </c>
      <c r="O26" s="8">
        <f t="shared" si="3"/>
        <v>-39.035098147203257</v>
      </c>
      <c r="P26" s="8">
        <f t="shared" si="24"/>
        <v>2204.3648933787467</v>
      </c>
      <c r="Q26" s="8">
        <v>992.32182137117024</v>
      </c>
      <c r="R26" s="8">
        <f t="shared" si="5"/>
        <v>3196.686714749917</v>
      </c>
      <c r="W26" s="9">
        <f t="shared" si="8"/>
        <v>5.4162290868707746E-2</v>
      </c>
      <c r="X26" s="9">
        <f t="shared" si="9"/>
        <v>5.9890265647904804E-2</v>
      </c>
      <c r="Y26" s="9">
        <f t="shared" si="10"/>
        <v>1.7939086355158E-2</v>
      </c>
      <c r="Z26" s="9">
        <f t="shared" si="11"/>
        <v>7.210137722386574E-2</v>
      </c>
      <c r="AC26" s="8">
        <v>11.602</v>
      </c>
      <c r="AD26" s="9">
        <f t="shared" si="21"/>
        <v>0.10811843361986617</v>
      </c>
      <c r="AE26" s="8">
        <v>310.39999999999998</v>
      </c>
      <c r="AF26" s="9">
        <f t="shared" si="22"/>
        <v>0.16080777860882578</v>
      </c>
      <c r="AG26" s="9">
        <f t="shared" si="12"/>
        <v>3.7377577319587629E-2</v>
      </c>
    </row>
    <row r="27" spans="1:39">
      <c r="A27" s="8">
        <v>1797</v>
      </c>
      <c r="B27" s="8">
        <v>215.19404108054252</v>
      </c>
      <c r="C27" s="9">
        <f t="shared" si="16"/>
        <v>-6.6344618779826003E-2</v>
      </c>
      <c r="D27" s="9">
        <f t="shared" si="23"/>
        <v>-4.2046313153053294E-2</v>
      </c>
      <c r="E27" s="8">
        <v>186.85930874888689</v>
      </c>
      <c r="K27" s="8">
        <f t="shared" si="0"/>
        <v>28.33473233165563</v>
      </c>
      <c r="L27" s="8">
        <f t="shared" si="1"/>
        <v>-28.33473233165563</v>
      </c>
      <c r="N27" s="8">
        <f t="shared" si="25"/>
        <v>18.333560836646825</v>
      </c>
      <c r="O27" s="8">
        <f t="shared" si="3"/>
        <v>-28.33473233165563</v>
      </c>
      <c r="P27" s="8">
        <f t="shared" si="24"/>
        <v>2165.3297952315434</v>
      </c>
      <c r="Q27" s="8">
        <v>974.01128049208842</v>
      </c>
      <c r="R27" s="8">
        <f t="shared" si="5"/>
        <v>3139.3410757236315</v>
      </c>
      <c r="W27" s="9">
        <f t="shared" si="8"/>
        <v>5.3681885417115487E-2</v>
      </c>
      <c r="X27" s="9">
        <f t="shared" si="9"/>
        <v>5.9521824561803952E-2</v>
      </c>
      <c r="Y27" s="9">
        <f t="shared" si="10"/>
        <v>1.4865633278647563E-2</v>
      </c>
      <c r="Z27" s="9">
        <f t="shared" si="11"/>
        <v>6.8547518695763046E-2</v>
      </c>
      <c r="AC27" s="8">
        <v>13.593999999999999</v>
      </c>
      <c r="AD27" s="9">
        <f t="shared" si="21"/>
        <v>0.17169453542492663</v>
      </c>
      <c r="AE27" s="8">
        <v>359.2</v>
      </c>
      <c r="AF27" s="9">
        <f t="shared" si="22"/>
        <v>0.15721649484536093</v>
      </c>
      <c r="AG27" s="9">
        <f t="shared" si="12"/>
        <v>3.7845211581291761E-2</v>
      </c>
    </row>
    <row r="28" spans="1:39">
      <c r="A28" s="8">
        <v>1798</v>
      </c>
      <c r="B28" s="8">
        <v>202.72495482833958</v>
      </c>
      <c r="C28" s="9">
        <f t="shared" si="16"/>
        <v>-5.7943455077067108E-2</v>
      </c>
      <c r="D28" s="9">
        <f t="shared" si="23"/>
        <v>-6.215344401070555E-2</v>
      </c>
      <c r="E28" s="8">
        <v>184.2096422613786</v>
      </c>
      <c r="K28" s="8">
        <f t="shared" si="0"/>
        <v>18.515312566960972</v>
      </c>
      <c r="L28" s="8">
        <f t="shared" si="1"/>
        <v>-18.515312566960972</v>
      </c>
      <c r="N28" s="8">
        <f t="shared" si="25"/>
        <v>18.315378547496721</v>
      </c>
      <c r="O28" s="8">
        <f t="shared" si="3"/>
        <v>-18.515312566960972</v>
      </c>
      <c r="P28" s="8">
        <f t="shared" si="24"/>
        <v>2136.9950628998877</v>
      </c>
      <c r="Q28" s="8">
        <v>955.67771965544159</v>
      </c>
      <c r="R28" s="8">
        <f t="shared" si="5"/>
        <v>3092.6727825553294</v>
      </c>
      <c r="W28" s="9">
        <f t="shared" si="8"/>
        <v>5.3641065634111897E-2</v>
      </c>
      <c r="X28" s="9">
        <f t="shared" si="9"/>
        <v>5.9563250047156582E-2</v>
      </c>
      <c r="Y28" s="9">
        <f t="shared" si="10"/>
        <v>1.1909016473455117E-2</v>
      </c>
      <c r="Z28" s="9">
        <f t="shared" si="11"/>
        <v>6.5550082107567006E-2</v>
      </c>
      <c r="AC28" s="8">
        <v>16.029</v>
      </c>
      <c r="AD28" s="9">
        <f t="shared" si="21"/>
        <v>0.17912314256289541</v>
      </c>
      <c r="AE28" s="8">
        <v>391.2</v>
      </c>
      <c r="AF28" s="9">
        <f t="shared" si="22"/>
        <v>8.9086859688195963E-2</v>
      </c>
      <c r="AG28" s="9">
        <f t="shared" si="12"/>
        <v>4.0973926380368099E-2</v>
      </c>
    </row>
    <row r="29" spans="1:39">
      <c r="A29" s="8">
        <v>1799</v>
      </c>
      <c r="B29" s="8">
        <v>199.40659514732681</v>
      </c>
      <c r="C29" s="9">
        <f t="shared" si="16"/>
        <v>-1.6368777508534382E-2</v>
      </c>
      <c r="D29" s="9">
        <f t="shared" si="23"/>
        <v>-3.7380536796273289E-2</v>
      </c>
      <c r="E29" s="8">
        <v>181.58097767667527</v>
      </c>
      <c r="K29" s="8">
        <f t="shared" si="0"/>
        <v>17.825617470651537</v>
      </c>
      <c r="L29" s="8">
        <f t="shared" si="1"/>
        <v>-17.825617470651537</v>
      </c>
      <c r="N29" s="8">
        <f t="shared" si="25"/>
        <v>18.306744516333197</v>
      </c>
      <c r="O29" s="8">
        <f t="shared" si="3"/>
        <v>-17.825617470651537</v>
      </c>
      <c r="P29" s="8">
        <f t="shared" si="24"/>
        <v>2118.4797503329269</v>
      </c>
      <c r="Q29" s="8">
        <v>937.36234110794487</v>
      </c>
      <c r="R29" s="8">
        <f t="shared" si="5"/>
        <v>3055.8420914408716</v>
      </c>
      <c r="W29" s="9">
        <f t="shared" si="8"/>
        <v>5.3430193143048185E-2</v>
      </c>
      <c r="X29" s="9">
        <f t="shared" si="9"/>
        <v>5.9420929564805276E-2</v>
      </c>
      <c r="Y29" s="9">
        <f t="shared" si="10"/>
        <v>1.1824027847573703E-2</v>
      </c>
      <c r="Z29" s="9">
        <f t="shared" si="11"/>
        <v>6.5254220990621892E-2</v>
      </c>
      <c r="AC29" s="8">
        <v>16.856000000000002</v>
      </c>
      <c r="AD29" s="9">
        <f t="shared" si="21"/>
        <v>5.1593985900555417E-2</v>
      </c>
      <c r="AE29" s="8">
        <v>426.6</v>
      </c>
      <c r="AF29" s="9">
        <f t="shared" si="22"/>
        <v>9.0490797546012303E-2</v>
      </c>
      <c r="AG29" s="9">
        <f t="shared" si="12"/>
        <v>3.9512423816221283E-2</v>
      </c>
    </row>
    <row r="30" spans="1:39">
      <c r="A30" s="8">
        <v>1800</v>
      </c>
      <c r="B30" s="8">
        <v>195.78080059987647</v>
      </c>
      <c r="C30" s="9">
        <f t="shared" si="16"/>
        <v>-1.8182921907730853E-2</v>
      </c>
      <c r="D30" s="9">
        <f t="shared" si="23"/>
        <v>-1.7276268330260747E-2</v>
      </c>
      <c r="E30" s="8">
        <v>178.98957416228481</v>
      </c>
      <c r="K30" s="8">
        <f t="shared" si="0"/>
        <v>16.791226437591661</v>
      </c>
      <c r="L30" s="8">
        <f t="shared" si="1"/>
        <v>-16.791226437591661</v>
      </c>
      <c r="N30" s="8">
        <f t="shared" si="25"/>
        <v>18.282588032446711</v>
      </c>
      <c r="O30" s="8">
        <f t="shared" si="3"/>
        <v>-16.791226437591661</v>
      </c>
      <c r="P30" s="8">
        <f t="shared" si="24"/>
        <v>2100.6541328622752</v>
      </c>
      <c r="Q30" s="8">
        <v>919.05559659161167</v>
      </c>
      <c r="R30" s="8">
        <f t="shared" si="5"/>
        <v>3019.7097294538871</v>
      </c>
      <c r="W30" s="9">
        <f t="shared" si="8"/>
        <v>5.3219349052765368E-2</v>
      </c>
      <c r="X30" s="9">
        <f t="shared" si="9"/>
        <v>5.9273768076594228E-2</v>
      </c>
      <c r="Y30" s="9">
        <f t="shared" si="10"/>
        <v>1.1614962235585951E-2</v>
      </c>
      <c r="Z30" s="9">
        <f t="shared" si="11"/>
        <v>6.4834311288351321E-2</v>
      </c>
      <c r="AC30" s="8">
        <v>3.387</v>
      </c>
      <c r="AD30" s="9">
        <f t="shared" si="21"/>
        <v>-0.79906264831514007</v>
      </c>
    </row>
    <row r="31" spans="1:39">
      <c r="A31" s="8">
        <v>1801</v>
      </c>
      <c r="B31" s="8">
        <v>192.26772532758503</v>
      </c>
      <c r="C31" s="9">
        <f t="shared" si="16"/>
        <v>-1.7943921270764607E-2</v>
      </c>
      <c r="D31" s="9">
        <f t="shared" si="23"/>
        <v>-1.8063428860759179E-2</v>
      </c>
      <c r="E31" s="8">
        <v>176.45531965693488</v>
      </c>
      <c r="K31" s="8">
        <f t="shared" si="0"/>
        <v>15.812405670650151</v>
      </c>
      <c r="L31" s="8">
        <f t="shared" si="1"/>
        <v>-15.812405670650151</v>
      </c>
      <c r="N31" s="8">
        <f t="shared" si="25"/>
        <v>18.280554046694988</v>
      </c>
      <c r="O31" s="8">
        <f t="shared" si="3"/>
        <v>-15.812405670650151</v>
      </c>
      <c r="P31" s="8">
        <f t="shared" si="24"/>
        <v>2083.8629064246834</v>
      </c>
      <c r="Q31" s="8">
        <v>900.77300855916496</v>
      </c>
      <c r="R31" s="8">
        <f t="shared" si="5"/>
        <v>2984.6359149838481</v>
      </c>
      <c r="W31" s="9">
        <f t="shared" si="8"/>
        <v>5.2996335270292384E-2</v>
      </c>
      <c r="X31" s="9">
        <f t="shared" si="9"/>
        <v>5.9121221041089626E-2</v>
      </c>
      <c r="Y31" s="9">
        <f t="shared" si="10"/>
        <v>1.1422820299852096E-2</v>
      </c>
      <c r="Z31" s="9">
        <f t="shared" si="11"/>
        <v>6.4419155570144479E-2</v>
      </c>
      <c r="AC31" s="8">
        <v>16.748999999999999</v>
      </c>
      <c r="AD31" s="9">
        <f t="shared" si="21"/>
        <v>3.9450841452612924</v>
      </c>
      <c r="AE31" s="8">
        <v>456.1</v>
      </c>
      <c r="AG31" s="9">
        <f t="shared" ref="AG31:AG61" si="26">AC31/AE31</f>
        <v>3.672221004165753E-2</v>
      </c>
    </row>
    <row r="32" spans="1:39">
      <c r="A32" s="8">
        <v>1802</v>
      </c>
      <c r="B32" s="8">
        <v>190.16767916639657</v>
      </c>
      <c r="C32" s="9">
        <f t="shared" si="16"/>
        <v>-1.0922510044836686E-2</v>
      </c>
      <c r="D32" s="9">
        <f t="shared" si="23"/>
        <v>-1.443946845223032E-2</v>
      </c>
      <c r="E32" s="8">
        <v>173.96732821988564</v>
      </c>
      <c r="K32" s="8">
        <f t="shared" si="0"/>
        <v>16.200350946510923</v>
      </c>
      <c r="L32" s="8">
        <f t="shared" si="1"/>
        <v>-16.200350946510923</v>
      </c>
      <c r="N32" s="8">
        <f t="shared" si="25"/>
        <v>18.177883162232547</v>
      </c>
      <c r="O32" s="8">
        <f t="shared" si="3"/>
        <v>-16.200350946510923</v>
      </c>
      <c r="P32" s="8">
        <f t="shared" si="24"/>
        <v>2068.0505007540332</v>
      </c>
      <c r="Q32" s="8">
        <v>882.49245451246998</v>
      </c>
      <c r="R32" s="8">
        <f t="shared" si="5"/>
        <v>2950.5429552665032</v>
      </c>
      <c r="W32" s="9">
        <f t="shared" si="8"/>
        <v>5.2800263347998491E-2</v>
      </c>
      <c r="X32" s="9">
        <f t="shared" si="9"/>
        <v>5.8961123717709889E-2</v>
      </c>
      <c r="Y32" s="9">
        <f t="shared" si="10"/>
        <v>1.1651494192748775E-2</v>
      </c>
      <c r="Z32" s="9">
        <f t="shared" si="11"/>
        <v>6.4451757540747265E-2</v>
      </c>
      <c r="AC32" s="8">
        <v>19.899999999999999</v>
      </c>
      <c r="AD32" s="9">
        <f t="shared" si="21"/>
        <v>0.18813063466475621</v>
      </c>
      <c r="AE32" s="8">
        <v>498.6</v>
      </c>
      <c r="AG32" s="9">
        <f t="shared" si="26"/>
        <v>3.9911752908142792E-2</v>
      </c>
    </row>
    <row r="33" spans="1:33">
      <c r="A33" s="8">
        <v>1803</v>
      </c>
      <c r="B33" s="8">
        <v>186.32517730701915</v>
      </c>
      <c r="C33" s="9">
        <f t="shared" si="16"/>
        <v>-2.0205861880531417E-2</v>
      </c>
      <c r="D33" s="9">
        <f t="shared" si="23"/>
        <v>-1.5575128918419501E-2</v>
      </c>
      <c r="E33" s="8">
        <v>171.46752801738927</v>
      </c>
      <c r="K33" s="8">
        <f t="shared" si="0"/>
        <v>14.857649289629876</v>
      </c>
      <c r="L33" s="8">
        <f t="shared" si="1"/>
        <v>-14.857649289629876</v>
      </c>
      <c r="N33" s="8">
        <f t="shared" si="25"/>
        <v>18.049504409017572</v>
      </c>
      <c r="O33" s="8">
        <f t="shared" si="3"/>
        <v>-14.857649289629876</v>
      </c>
      <c r="P33" s="8">
        <f t="shared" si="24"/>
        <v>2051.8501498075225</v>
      </c>
      <c r="Q33" s="8">
        <v>864.31457135023743</v>
      </c>
      <c r="R33" s="8">
        <f t="shared" si="5"/>
        <v>2916.1647211577601</v>
      </c>
      <c r="W33" s="9">
        <f t="shared" si="8"/>
        <v>5.2609519104072591E-2</v>
      </c>
      <c r="X33" s="9">
        <f t="shared" si="9"/>
        <v>5.879898579573864E-2</v>
      </c>
      <c r="Y33" s="9">
        <f t="shared" si="10"/>
        <v>1.1284394691388635E-2</v>
      </c>
      <c r="Z33" s="9">
        <f t="shared" si="11"/>
        <v>6.3893913795461221E-2</v>
      </c>
      <c r="AC33" s="8">
        <v>20.399999999999999</v>
      </c>
      <c r="AD33" s="9">
        <f t="shared" si="21"/>
        <v>2.5125628140703515E-2</v>
      </c>
      <c r="AE33" s="8">
        <v>516.4</v>
      </c>
      <c r="AG33" s="9">
        <f t="shared" si="26"/>
        <v>3.9504260263361735E-2</v>
      </c>
    </row>
    <row r="34" spans="1:33">
      <c r="A34" s="8">
        <v>1804</v>
      </c>
      <c r="B34" s="8">
        <v>182.83276140642201</v>
      </c>
      <c r="C34" s="9">
        <f t="shared" si="16"/>
        <v>-1.8743660685439645E-2</v>
      </c>
      <c r="D34" s="9">
        <f t="shared" si="23"/>
        <v>-1.9475033845147594E-2</v>
      </c>
      <c r="E34" s="8">
        <v>168.97074318384153</v>
      </c>
      <c r="K34" s="8">
        <f t="shared" si="0"/>
        <v>13.862018222580474</v>
      </c>
      <c r="L34" s="8">
        <f t="shared" si="1"/>
        <v>-13.862018222580474</v>
      </c>
      <c r="N34" s="8">
        <f t="shared" si="25"/>
        <v>17.890531388840827</v>
      </c>
      <c r="O34" s="8">
        <f t="shared" si="3"/>
        <v>-13.862018222580474</v>
      </c>
      <c r="P34" s="8">
        <f t="shared" si="24"/>
        <v>2036.9925005178925</v>
      </c>
      <c r="Q34" s="8">
        <v>846.26506694121986</v>
      </c>
      <c r="R34" s="8">
        <f t="shared" si="5"/>
        <v>2883.2575674591126</v>
      </c>
      <c r="W34" s="9">
        <f t="shared" si="8"/>
        <v>5.2399138217866889E-2</v>
      </c>
      <c r="X34" s="9">
        <f t="shared" si="9"/>
        <v>5.8604109841198813E-2</v>
      </c>
      <c r="Y34" s="9">
        <f t="shared" si="10"/>
        <v>1.1012734335560392E-2</v>
      </c>
      <c r="Z34" s="9">
        <f t="shared" si="11"/>
        <v>6.3411872553427284E-2</v>
      </c>
      <c r="AC34" s="8">
        <v>20.7</v>
      </c>
      <c r="AD34" s="9">
        <f t="shared" si="21"/>
        <v>1.4705882352941124E-2</v>
      </c>
      <c r="AE34" s="8">
        <v>523.79999999999995</v>
      </c>
      <c r="AG34" s="9">
        <f t="shared" si="26"/>
        <v>3.9518900343642617E-2</v>
      </c>
    </row>
    <row r="35" spans="1:33">
      <c r="A35" s="8">
        <v>1805</v>
      </c>
      <c r="B35" s="8">
        <v>180.4585717681752</v>
      </c>
      <c r="C35" s="9">
        <f t="shared" si="16"/>
        <v>-1.2985581030355853E-2</v>
      </c>
      <c r="D35" s="9">
        <f t="shared" si="23"/>
        <v>-1.5868832111877063E-2</v>
      </c>
      <c r="E35" s="8">
        <v>166.53299208873187</v>
      </c>
      <c r="K35" s="8">
        <f t="shared" si="0"/>
        <v>13.925579679443331</v>
      </c>
      <c r="L35" s="8">
        <f t="shared" si="1"/>
        <v>-13.925579679443331</v>
      </c>
      <c r="N35" s="8">
        <f t="shared" si="25"/>
        <v>17.683733627262427</v>
      </c>
      <c r="O35" s="8">
        <f t="shared" si="3"/>
        <v>-13.925579679443331</v>
      </c>
      <c r="P35" s="8">
        <f t="shared" si="24"/>
        <v>2023.130482295312</v>
      </c>
      <c r="Q35" s="8">
        <v>828.37453555237903</v>
      </c>
      <c r="R35" s="8">
        <f t="shared" si="5"/>
        <v>2851.5050178476913</v>
      </c>
      <c r="W35" s="9">
        <f t="shared" si="8"/>
        <v>5.2200244267436177E-2</v>
      </c>
      <c r="X35" s="9">
        <f t="shared" si="9"/>
        <v>5.8401788194793552E-2</v>
      </c>
      <c r="Y35" s="9">
        <f t="shared" si="10"/>
        <v>1.1085133327439973E-2</v>
      </c>
      <c r="Z35" s="9">
        <f t="shared" si="11"/>
        <v>6.3285377594876152E-2</v>
      </c>
      <c r="AC35" s="8">
        <v>20.7</v>
      </c>
      <c r="AD35" s="9">
        <f t="shared" si="21"/>
        <v>0</v>
      </c>
      <c r="AE35" s="8">
        <v>539.6</v>
      </c>
      <c r="AG35" s="9">
        <f t="shared" si="26"/>
        <v>3.8361749444032617E-2</v>
      </c>
    </row>
    <row r="36" spans="1:33">
      <c r="A36" s="8">
        <v>1806</v>
      </c>
      <c r="B36" s="8">
        <v>178.45705285058352</v>
      </c>
      <c r="C36" s="9">
        <f t="shared" si="16"/>
        <v>-1.1091293131605395E-2</v>
      </c>
      <c r="D36" s="9">
        <f t="shared" si="23"/>
        <v>-1.2038891087442272E-2</v>
      </c>
      <c r="E36" s="8">
        <v>164.10977476712853</v>
      </c>
      <c r="K36" s="8">
        <f t="shared" ref="K36:K55" si="27">B36-E36</f>
        <v>14.347278083454995</v>
      </c>
      <c r="L36" s="8">
        <f t="shared" ref="L36:L55" si="28">H36-K36+J36+I36</f>
        <v>-14.347278083454995</v>
      </c>
      <c r="N36" s="8">
        <f t="shared" si="25"/>
        <v>17.457043280774883</v>
      </c>
      <c r="O36" s="8">
        <f t="shared" ref="O36:O56" si="29">M36+J36+I36-K36</f>
        <v>-14.347278083454995</v>
      </c>
      <c r="P36" s="8">
        <f t="shared" si="24"/>
        <v>2009.2049026158688</v>
      </c>
      <c r="Q36" s="8">
        <v>810.6908019251166</v>
      </c>
      <c r="R36" s="8">
        <f t="shared" ref="R36:R67" si="30">Q36+P36</f>
        <v>2819.8957045409852</v>
      </c>
      <c r="W36" s="9">
        <f t="shared" ref="W36:W67" si="31">(E36-N36)/R36</f>
        <v>5.200643812825885E-2</v>
      </c>
      <c r="X36" s="9">
        <f t="shared" ref="X36:X67" si="32">E36/R36</f>
        <v>5.8197107964970594E-2</v>
      </c>
      <c r="Y36" s="9">
        <f t="shared" ref="Y36:Y67" si="33">(K36+N36)/R36</f>
        <v>1.1278545271378006E-2</v>
      </c>
      <c r="Z36" s="9">
        <f t="shared" ref="Z36:Z67" si="34">B36/R36</f>
        <v>6.3284983399636854E-2</v>
      </c>
      <c r="AC36" s="8">
        <v>22.3</v>
      </c>
      <c r="AD36" s="9">
        <f t="shared" si="21"/>
        <v>7.7294685990338285E-2</v>
      </c>
      <c r="AE36" s="8">
        <v>564.4</v>
      </c>
      <c r="AG36" s="9">
        <f t="shared" si="26"/>
        <v>3.9510985116938346E-2</v>
      </c>
    </row>
    <row r="37" spans="1:33">
      <c r="A37" s="8">
        <v>1807</v>
      </c>
      <c r="B37" s="8">
        <v>176.82979682268666</v>
      </c>
      <c r="C37" s="9">
        <f t="shared" ref="C37:C68" si="35">B37/B36-1</f>
        <v>-9.1184741757408538E-3</v>
      </c>
      <c r="D37" s="9">
        <f t="shared" si="23"/>
        <v>-1.0105375121851723E-2</v>
      </c>
      <c r="E37" s="8">
        <v>161.67990131224852</v>
      </c>
      <c r="K37" s="8">
        <f t="shared" si="27"/>
        <v>15.149895510438142</v>
      </c>
      <c r="L37" s="8">
        <f t="shared" si="28"/>
        <v>-15.149895510438142</v>
      </c>
      <c r="N37" s="8">
        <f t="shared" si="25"/>
        <v>17.20383104147902</v>
      </c>
      <c r="O37" s="8">
        <f t="shared" si="29"/>
        <v>-15.149895510438142</v>
      </c>
      <c r="P37" s="8">
        <f t="shared" si="24"/>
        <v>1994.8576245324139</v>
      </c>
      <c r="Q37" s="8">
        <v>793.23375864434172</v>
      </c>
      <c r="R37" s="8">
        <f t="shared" si="30"/>
        <v>2788.0913831767557</v>
      </c>
      <c r="W37" s="9">
        <f t="shared" si="31"/>
        <v>5.1818986688360706E-2</v>
      </c>
      <c r="X37" s="9">
        <f t="shared" si="32"/>
        <v>5.7989455542174585E-2</v>
      </c>
      <c r="Y37" s="9">
        <f t="shared" si="33"/>
        <v>1.160425613993085E-2</v>
      </c>
      <c r="Z37" s="9">
        <f t="shared" si="34"/>
        <v>6.3423242828291551E-2</v>
      </c>
      <c r="AC37" s="8">
        <v>23.2</v>
      </c>
      <c r="AD37" s="9">
        <f t="shared" ref="AD37:AD61" si="36">AC37/AC36-1</f>
        <v>4.0358744394618729E-2</v>
      </c>
      <c r="AE37" s="8">
        <v>583.1</v>
      </c>
      <c r="AG37" s="9">
        <f t="shared" si="26"/>
        <v>3.9787343508832104E-2</v>
      </c>
    </row>
    <row r="38" spans="1:33">
      <c r="A38" s="8">
        <v>1808</v>
      </c>
      <c r="B38" s="8">
        <v>180.47394069818591</v>
      </c>
      <c r="C38" s="9">
        <f t="shared" si="35"/>
        <v>2.060820032018329E-2</v>
      </c>
      <c r="D38" s="9">
        <f t="shared" ref="D38:D69" si="37">(B38/B36)^0.5-1</f>
        <v>5.6350286271926731E-3</v>
      </c>
      <c r="E38" s="8">
        <v>159.22726985655066</v>
      </c>
      <c r="K38" s="8">
        <f t="shared" si="27"/>
        <v>21.24667084163525</v>
      </c>
      <c r="L38" s="8">
        <f t="shared" si="28"/>
        <v>-21.24667084163525</v>
      </c>
      <c r="N38" s="8">
        <f t="shared" si="25"/>
        <v>16.93516501850354</v>
      </c>
      <c r="O38" s="8">
        <f t="shared" si="29"/>
        <v>-21.24667084163525</v>
      </c>
      <c r="P38" s="8">
        <f t="shared" si="24"/>
        <v>1979.7077290219756</v>
      </c>
      <c r="Q38" s="8">
        <v>776.0299276028627</v>
      </c>
      <c r="R38" s="8">
        <f t="shared" si="30"/>
        <v>2755.7376566248386</v>
      </c>
      <c r="W38" s="9">
        <f t="shared" si="31"/>
        <v>5.1634851559971454E-2</v>
      </c>
      <c r="X38" s="9">
        <f t="shared" si="32"/>
        <v>5.7780271454274938E-2</v>
      </c>
      <c r="Y38" s="9">
        <f t="shared" si="33"/>
        <v>1.3855395766120562E-2</v>
      </c>
      <c r="Z38" s="9">
        <f t="shared" si="34"/>
        <v>6.5490247326092016E-2</v>
      </c>
      <c r="AC38" s="8">
        <v>23.8</v>
      </c>
      <c r="AD38" s="9">
        <f t="shared" si="36"/>
        <v>2.5862068965517349E-2</v>
      </c>
      <c r="AE38" s="8">
        <v>591.29999999999995</v>
      </c>
      <c r="AG38" s="9">
        <f t="shared" si="26"/>
        <v>4.025029595805852E-2</v>
      </c>
    </row>
    <row r="39" spans="1:33">
      <c r="A39" s="8">
        <v>1809</v>
      </c>
      <c r="B39" s="8">
        <v>173.1438778273945</v>
      </c>
      <c r="C39" s="9">
        <f t="shared" si="35"/>
        <v>-4.0615630392034197E-2</v>
      </c>
      <c r="D39" s="9">
        <f t="shared" si="37"/>
        <v>-1.0477107449807566E-2</v>
      </c>
      <c r="E39" s="8">
        <v>156.76756077665399</v>
      </c>
      <c r="K39" s="8">
        <f t="shared" si="27"/>
        <v>16.376317050740511</v>
      </c>
      <c r="L39" s="8">
        <f t="shared" si="28"/>
        <v>-16.376317050740511</v>
      </c>
      <c r="N39" s="8">
        <f t="shared" si="25"/>
        <v>16.640920686777349</v>
      </c>
      <c r="O39" s="8">
        <f t="shared" si="29"/>
        <v>-16.376317050740511</v>
      </c>
      <c r="P39" s="8">
        <f t="shared" si="24"/>
        <v>1958.4610581803404</v>
      </c>
      <c r="Q39" s="8">
        <v>759.09476258435916</v>
      </c>
      <c r="R39" s="8">
        <f t="shared" si="30"/>
        <v>2717.5558207646995</v>
      </c>
      <c r="W39" s="9">
        <f t="shared" si="31"/>
        <v>5.1563481794624583E-2</v>
      </c>
      <c r="X39" s="9">
        <f t="shared" si="32"/>
        <v>5.768696987888948E-2</v>
      </c>
      <c r="Y39" s="9">
        <f t="shared" si="33"/>
        <v>1.2149607925340448E-2</v>
      </c>
      <c r="Z39" s="9">
        <f t="shared" si="34"/>
        <v>6.3713089719965033E-2</v>
      </c>
      <c r="AC39" s="8">
        <v>23.1</v>
      </c>
      <c r="AD39" s="9">
        <f t="shared" si="36"/>
        <v>-2.9411764705882359E-2</v>
      </c>
      <c r="AE39" s="8">
        <v>599</v>
      </c>
      <c r="AG39" s="9">
        <f t="shared" si="26"/>
        <v>3.8564273789649418E-2</v>
      </c>
    </row>
    <row r="40" spans="1:33">
      <c r="A40" s="8">
        <v>1810</v>
      </c>
      <c r="B40" s="8">
        <v>168.58083789000153</v>
      </c>
      <c r="C40" s="9">
        <f t="shared" si="35"/>
        <v>-2.6354035699384215E-2</v>
      </c>
      <c r="D40" s="9">
        <f t="shared" si="37"/>
        <v>-3.3511138356014825E-2</v>
      </c>
      <c r="E40" s="8">
        <v>154.30133859969018</v>
      </c>
      <c r="K40" s="8">
        <f t="shared" si="27"/>
        <v>14.27949929031135</v>
      </c>
      <c r="L40" s="8">
        <f t="shared" si="28"/>
        <v>-14.27949929031135</v>
      </c>
      <c r="N40" s="8">
        <f t="shared" si="25"/>
        <v>16.336871446523787</v>
      </c>
      <c r="O40" s="8">
        <f t="shared" si="29"/>
        <v>-14.27949929031135</v>
      </c>
      <c r="P40" s="8">
        <f t="shared" si="24"/>
        <v>1942.0847411295999</v>
      </c>
      <c r="Q40" s="8">
        <v>742.45384189758181</v>
      </c>
      <c r="R40" s="8">
        <f t="shared" si="30"/>
        <v>2684.5385830271816</v>
      </c>
      <c r="W40" s="9">
        <f t="shared" si="31"/>
        <v>5.1392245961908556E-2</v>
      </c>
      <c r="X40" s="9">
        <f t="shared" si="32"/>
        <v>5.7477787644867627E-2</v>
      </c>
      <c r="Y40" s="9">
        <f t="shared" si="33"/>
        <v>1.1404705050769293E-2</v>
      </c>
      <c r="Z40" s="9">
        <f t="shared" si="34"/>
        <v>6.2796951012677849E-2</v>
      </c>
      <c r="AC40" s="8">
        <v>24.2</v>
      </c>
      <c r="AD40" s="9">
        <f t="shared" si="36"/>
        <v>4.761904761904745E-2</v>
      </c>
      <c r="AE40" s="8">
        <v>607.4</v>
      </c>
      <c r="AG40" s="9">
        <f t="shared" si="26"/>
        <v>3.9841949292064541E-2</v>
      </c>
    </row>
    <row r="41" spans="1:33">
      <c r="A41" s="8">
        <v>1811</v>
      </c>
      <c r="B41" s="8">
        <v>156.46702358238059</v>
      </c>
      <c r="C41" s="9">
        <f t="shared" si="35"/>
        <v>-7.1857599352573964E-2</v>
      </c>
      <c r="D41" s="9">
        <f t="shared" si="37"/>
        <v>-4.9378044285399603E-2</v>
      </c>
      <c r="E41" s="8">
        <v>151.92599534805336</v>
      </c>
      <c r="K41" s="8">
        <f t="shared" si="27"/>
        <v>4.5410282343272286</v>
      </c>
      <c r="L41" s="8">
        <f t="shared" si="28"/>
        <v>-4.5410282343272286</v>
      </c>
      <c r="N41" s="8">
        <f t="shared" si="25"/>
        <v>15.996976436578507</v>
      </c>
      <c r="O41" s="8">
        <f t="shared" si="29"/>
        <v>-4.5410282343272286</v>
      </c>
      <c r="P41" s="8">
        <f t="shared" si="24"/>
        <v>1927.8052418392886</v>
      </c>
      <c r="Q41" s="8">
        <v>726.11697045105802</v>
      </c>
      <c r="R41" s="8">
        <f t="shared" si="30"/>
        <v>2653.9222122903466</v>
      </c>
      <c r="W41" s="9">
        <f t="shared" si="31"/>
        <v>5.1218162417114521E-2</v>
      </c>
      <c r="X41" s="9">
        <f t="shared" si="32"/>
        <v>5.7245835859273571E-2</v>
      </c>
      <c r="Y41" s="9">
        <f t="shared" si="33"/>
        <v>7.7387364918964025E-3</v>
      </c>
      <c r="Z41" s="9">
        <f t="shared" si="34"/>
        <v>5.8956898909010923E-2</v>
      </c>
      <c r="AC41" s="8">
        <v>24.4</v>
      </c>
      <c r="AD41" s="9">
        <f t="shared" si="36"/>
        <v>8.2644628099173278E-3</v>
      </c>
      <c r="AE41" s="8">
        <v>609.6</v>
      </c>
      <c r="AG41" s="9">
        <f t="shared" si="26"/>
        <v>4.0026246719160101E-2</v>
      </c>
    </row>
    <row r="42" spans="1:33">
      <c r="A42" s="8">
        <v>1812</v>
      </c>
      <c r="B42" s="8">
        <v>154.97449295275814</v>
      </c>
      <c r="C42" s="9">
        <f t="shared" si="35"/>
        <v>-9.5389469004414362E-3</v>
      </c>
      <c r="D42" s="9">
        <f t="shared" si="37"/>
        <v>-4.1204453717268219E-2</v>
      </c>
      <c r="E42" s="8">
        <v>150.23553750760905</v>
      </c>
      <c r="K42" s="8">
        <f t="shared" si="27"/>
        <v>4.7389554451490881</v>
      </c>
      <c r="L42" s="8">
        <f t="shared" si="28"/>
        <v>-4.7389554451490881</v>
      </c>
      <c r="N42" s="8">
        <f t="shared" si="25"/>
        <v>15.698243463090762</v>
      </c>
      <c r="O42" s="8">
        <f t="shared" si="29"/>
        <v>-4.7389554451490881</v>
      </c>
      <c r="P42" s="8">
        <f t="shared" si="24"/>
        <v>1923.2642136049612</v>
      </c>
      <c r="Q42" s="8">
        <v>710.11999401447952</v>
      </c>
      <c r="R42" s="8">
        <f t="shared" si="30"/>
        <v>2633.3842076194405</v>
      </c>
      <c r="W42" s="9">
        <f t="shared" si="31"/>
        <v>5.1089124653838108E-2</v>
      </c>
      <c r="X42" s="9">
        <f t="shared" si="32"/>
        <v>5.7050367763624148E-2</v>
      </c>
      <c r="Y42" s="9">
        <f t="shared" si="33"/>
        <v>7.7608116768934842E-3</v>
      </c>
      <c r="Z42" s="9">
        <f t="shared" si="34"/>
        <v>5.8849936330731593E-2</v>
      </c>
      <c r="AC42" s="8">
        <v>24.6</v>
      </c>
      <c r="AD42" s="9">
        <f t="shared" si="36"/>
        <v>8.19672131147553E-3</v>
      </c>
      <c r="AE42" s="8">
        <v>626</v>
      </c>
      <c r="AG42" s="9">
        <f t="shared" si="26"/>
        <v>3.9297124600638979E-2</v>
      </c>
    </row>
    <row r="43" spans="1:33">
      <c r="A43" s="8">
        <v>1813</v>
      </c>
      <c r="B43" s="8">
        <v>153.50983434725075</v>
      </c>
      <c r="C43" s="9">
        <f t="shared" si="35"/>
        <v>-9.4509656240906459E-3</v>
      </c>
      <c r="D43" s="9">
        <f t="shared" si="37"/>
        <v>-9.4949572391295201E-3</v>
      </c>
      <c r="E43" s="8">
        <v>148.56429197831267</v>
      </c>
      <c r="K43" s="8">
        <f t="shared" si="27"/>
        <v>4.945542368938078</v>
      </c>
      <c r="L43" s="8">
        <f t="shared" si="28"/>
        <v>-4.945542368938078</v>
      </c>
      <c r="N43" s="8">
        <f t="shared" si="25"/>
        <v>15.381897282381942</v>
      </c>
      <c r="O43" s="8">
        <f t="shared" si="29"/>
        <v>-4.945542368938078</v>
      </c>
      <c r="P43" s="8">
        <f t="shared" si="24"/>
        <v>1918.5252581598122</v>
      </c>
      <c r="Q43" s="8">
        <v>694.42175055138875</v>
      </c>
      <c r="R43" s="8">
        <f t="shared" si="30"/>
        <v>2612.9470087112009</v>
      </c>
      <c r="W43" s="9">
        <f t="shared" si="31"/>
        <v>5.09701858674972E-2</v>
      </c>
      <c r="X43" s="9">
        <f t="shared" si="32"/>
        <v>5.6856986185720583E-2</v>
      </c>
      <c r="Y43" s="9">
        <f t="shared" si="33"/>
        <v>7.7795070407287907E-3</v>
      </c>
      <c r="Z43" s="9">
        <f t="shared" si="34"/>
        <v>5.8749692908225987E-2</v>
      </c>
      <c r="AC43" s="8">
        <v>26.4</v>
      </c>
      <c r="AD43" s="9">
        <f t="shared" si="36"/>
        <v>7.3170731707316916E-2</v>
      </c>
      <c r="AE43" s="8">
        <v>652.29999999999995</v>
      </c>
      <c r="AG43" s="9">
        <f t="shared" si="26"/>
        <v>4.0472175379426642E-2</v>
      </c>
    </row>
    <row r="44" spans="1:33">
      <c r="A44" s="8">
        <v>1814</v>
      </c>
      <c r="B44" s="8">
        <v>152.07469109210624</v>
      </c>
      <c r="C44" s="9">
        <f t="shared" si="35"/>
        <v>-9.3488685024446516E-3</v>
      </c>
      <c r="D44" s="9">
        <f t="shared" si="37"/>
        <v>-9.3999183786095397E-3</v>
      </c>
      <c r="E44" s="8">
        <v>146.91352179224583</v>
      </c>
      <c r="K44" s="8">
        <f t="shared" si="27"/>
        <v>5.1611692998604042</v>
      </c>
      <c r="L44" s="8">
        <f t="shared" si="28"/>
        <v>-5.1611692998604042</v>
      </c>
      <c r="N44" s="8">
        <f t="shared" si="25"/>
        <v>15.100225018934566</v>
      </c>
      <c r="O44" s="8">
        <f t="shared" si="29"/>
        <v>-5.1611692998604042</v>
      </c>
      <c r="P44" s="8">
        <f t="shared" si="24"/>
        <v>1913.5797157908742</v>
      </c>
      <c r="Q44" s="8">
        <v>679.03985326900681</v>
      </c>
      <c r="R44" s="8">
        <f t="shared" si="30"/>
        <v>2592.6195690598811</v>
      </c>
      <c r="W44" s="9">
        <f t="shared" si="31"/>
        <v>5.0841742593614903E-2</v>
      </c>
      <c r="X44" s="9">
        <f t="shared" si="32"/>
        <v>5.6666054497736686E-2</v>
      </c>
      <c r="Y44" s="9">
        <f t="shared" si="33"/>
        <v>7.8150279202521128E-3</v>
      </c>
      <c r="Z44" s="9">
        <f t="shared" si="34"/>
        <v>5.8656770513867015E-2</v>
      </c>
      <c r="AC44" s="8">
        <v>27.3</v>
      </c>
      <c r="AD44" s="9">
        <f t="shared" si="36"/>
        <v>3.4090909090909172E-2</v>
      </c>
      <c r="AE44" s="8">
        <v>725.5</v>
      </c>
      <c r="AG44" s="9">
        <f t="shared" si="26"/>
        <v>3.762922122674018E-2</v>
      </c>
    </row>
    <row r="45" spans="1:33">
      <c r="A45" s="8">
        <v>1815</v>
      </c>
      <c r="B45" s="8">
        <v>148.86582808325556</v>
      </c>
      <c r="C45" s="9">
        <f t="shared" si="35"/>
        <v>-2.110057226358053E-2</v>
      </c>
      <c r="D45" s="9">
        <f t="shared" si="37"/>
        <v>-1.524225024151582E-2</v>
      </c>
      <c r="E45" s="8">
        <v>145.27959478927539</v>
      </c>
      <c r="K45" s="8">
        <f t="shared" si="27"/>
        <v>3.5862332939801718</v>
      </c>
      <c r="L45" s="8">
        <f t="shared" si="28"/>
        <v>-3.5862332939801718</v>
      </c>
      <c r="N45" s="8">
        <f t="shared" si="25"/>
        <v>14.776378109620964</v>
      </c>
      <c r="O45" s="8">
        <f t="shared" si="29"/>
        <v>-3.5862332939801718</v>
      </c>
      <c r="P45" s="8">
        <f t="shared" si="24"/>
        <v>1908.4185464910138</v>
      </c>
      <c r="Q45" s="8">
        <v>663.93962825007225</v>
      </c>
      <c r="R45" s="8">
        <f t="shared" si="30"/>
        <v>2572.3581747410863</v>
      </c>
      <c r="W45" s="9">
        <f t="shared" si="31"/>
        <v>5.0732910354830303E-2</v>
      </c>
      <c r="X45" s="9">
        <f t="shared" si="32"/>
        <v>5.6477202986671214E-2</v>
      </c>
      <c r="Y45" s="9">
        <f t="shared" si="33"/>
        <v>7.1384349131121197E-3</v>
      </c>
      <c r="Z45" s="9">
        <f t="shared" si="34"/>
        <v>5.7871345267942423E-2</v>
      </c>
      <c r="AC45" s="8">
        <v>30</v>
      </c>
      <c r="AD45" s="9">
        <f t="shared" si="36"/>
        <v>9.8901098901098772E-2</v>
      </c>
      <c r="AE45" s="8">
        <v>744.9</v>
      </c>
      <c r="AG45" s="9">
        <f t="shared" si="26"/>
        <v>4.027386226339106E-2</v>
      </c>
    </row>
    <row r="46" spans="1:33">
      <c r="A46" s="8">
        <v>1816</v>
      </c>
      <c r="B46" s="8">
        <v>147.48718024871457</v>
      </c>
      <c r="C46" s="9">
        <f t="shared" si="35"/>
        <v>-9.2610094088884098E-3</v>
      </c>
      <c r="D46" s="9">
        <f t="shared" si="37"/>
        <v>-1.5198582999700894E-2</v>
      </c>
      <c r="E46" s="8">
        <v>143.66525332951375</v>
      </c>
      <c r="K46" s="8">
        <f t="shared" si="27"/>
        <v>3.8219269192008198</v>
      </c>
      <c r="L46" s="8">
        <f t="shared" si="28"/>
        <v>-3.8219269192008198</v>
      </c>
      <c r="N46" s="8">
        <f t="shared" si="25"/>
        <v>14.495816815538433</v>
      </c>
      <c r="O46" s="8">
        <f t="shared" si="29"/>
        <v>-3.8219269192008198</v>
      </c>
      <c r="P46" s="8">
        <f t="shared" si="24"/>
        <v>1904.8323131970337</v>
      </c>
      <c r="Q46" s="8">
        <v>649.16325014045128</v>
      </c>
      <c r="R46" s="8">
        <f t="shared" si="30"/>
        <v>2553.9955633374848</v>
      </c>
      <c r="W46" s="9">
        <f t="shared" si="31"/>
        <v>5.057543496480494E-2</v>
      </c>
      <c r="X46" s="9">
        <f t="shared" si="32"/>
        <v>5.6251175762332295E-2</v>
      </c>
      <c r="Y46" s="9">
        <f t="shared" si="33"/>
        <v>7.1721908987195633E-3</v>
      </c>
      <c r="Z46" s="9">
        <f t="shared" si="34"/>
        <v>5.7747625863524499E-2</v>
      </c>
      <c r="AC46" s="8">
        <v>32.200000000000003</v>
      </c>
      <c r="AD46" s="9">
        <f t="shared" si="36"/>
        <v>7.3333333333333472E-2</v>
      </c>
      <c r="AE46" s="8">
        <v>778.3</v>
      </c>
      <c r="AG46" s="9">
        <f t="shared" si="26"/>
        <v>4.1372221508415782E-2</v>
      </c>
    </row>
    <row r="47" spans="1:33">
      <c r="A47" s="8">
        <v>1817</v>
      </c>
      <c r="B47" s="8">
        <v>146.13470900614175</v>
      </c>
      <c r="C47" s="9">
        <f t="shared" si="35"/>
        <v>-9.1700935653666882E-3</v>
      </c>
      <c r="D47" s="9">
        <f t="shared" si="37"/>
        <v>-9.2155525299491003E-3</v>
      </c>
      <c r="E47" s="8">
        <v>142.13955089013612</v>
      </c>
      <c r="K47" s="8">
        <f t="shared" si="27"/>
        <v>3.9951581160056264</v>
      </c>
      <c r="L47" s="8">
        <f t="shared" si="28"/>
        <v>-3.9951581160056264</v>
      </c>
      <c r="N47" s="8">
        <f t="shared" si="25"/>
        <v>14.032056618806678</v>
      </c>
      <c r="O47" s="8">
        <f t="shared" si="29"/>
        <v>-3.9951581160056264</v>
      </c>
      <c r="P47" s="8">
        <f t="shared" si="24"/>
        <v>1901.0103862778328</v>
      </c>
      <c r="Q47" s="8">
        <v>634.66743332491285</v>
      </c>
      <c r="R47" s="8">
        <f t="shared" si="30"/>
        <v>2535.6778196027458</v>
      </c>
      <c r="W47" s="9">
        <f t="shared" si="31"/>
        <v>5.052199190329295E-2</v>
      </c>
      <c r="X47" s="9">
        <f t="shared" si="32"/>
        <v>5.6055840292992959E-2</v>
      </c>
      <c r="Y47" s="9">
        <f t="shared" si="33"/>
        <v>7.1094263614438812E-3</v>
      </c>
      <c r="Z47" s="9">
        <f t="shared" si="34"/>
        <v>5.7631418264736833E-2</v>
      </c>
      <c r="AC47" s="8">
        <v>32.9</v>
      </c>
      <c r="AD47" s="9">
        <f t="shared" si="36"/>
        <v>2.1739130434782483E-2</v>
      </c>
      <c r="AE47" s="8">
        <v>766.1</v>
      </c>
      <c r="AG47" s="9">
        <f t="shared" si="26"/>
        <v>4.2944785276073615E-2</v>
      </c>
    </row>
    <row r="48" spans="1:33">
      <c r="A48" s="8">
        <v>1818</v>
      </c>
      <c r="B48" s="8">
        <v>144.82550695891757</v>
      </c>
      <c r="C48" s="9">
        <f t="shared" si="35"/>
        <v>-8.9588712779327118E-3</v>
      </c>
      <c r="D48" s="9">
        <f t="shared" si="37"/>
        <v>-9.064488049520314E-3</v>
      </c>
      <c r="E48" s="8">
        <v>140.64926001797886</v>
      </c>
      <c r="K48" s="8">
        <f t="shared" si="27"/>
        <v>4.1762469409387108</v>
      </c>
      <c r="L48" s="8">
        <f t="shared" si="28"/>
        <v>-4.1762469409387108</v>
      </c>
      <c r="N48" s="8">
        <f t="shared" si="25"/>
        <v>13.954276428697881</v>
      </c>
      <c r="O48" s="8">
        <f t="shared" si="29"/>
        <v>-4.1762469409387108</v>
      </c>
      <c r="P48" s="8">
        <f t="shared" si="24"/>
        <v>1897.0152281618273</v>
      </c>
      <c r="Q48" s="8">
        <v>620.63537670610617</v>
      </c>
      <c r="R48" s="8">
        <f t="shared" si="30"/>
        <v>2517.6506048679335</v>
      </c>
      <c r="W48" s="9">
        <f t="shared" si="31"/>
        <v>5.0322702977257217E-2</v>
      </c>
      <c r="X48" s="9">
        <f t="shared" si="32"/>
        <v>5.5865281602630004E-2</v>
      </c>
      <c r="Y48" s="9">
        <f t="shared" si="33"/>
        <v>7.2013659618140905E-3</v>
      </c>
      <c r="Z48" s="9">
        <f t="shared" si="34"/>
        <v>5.7524068939071304E-2</v>
      </c>
      <c r="AC48" s="8">
        <v>31.5</v>
      </c>
      <c r="AD48" s="9">
        <f t="shared" si="36"/>
        <v>-4.2553191489361653E-2</v>
      </c>
      <c r="AE48" s="8">
        <v>843.3</v>
      </c>
      <c r="AG48" s="9">
        <f t="shared" si="26"/>
        <v>3.7353255069370331E-2</v>
      </c>
    </row>
    <row r="49" spans="1:33">
      <c r="A49" s="8">
        <v>1819</v>
      </c>
      <c r="B49" s="8">
        <v>143.52356186531682</v>
      </c>
      <c r="C49" s="9">
        <f t="shared" si="35"/>
        <v>-8.9897499476392362E-3</v>
      </c>
      <c r="D49" s="9">
        <f t="shared" si="37"/>
        <v>-8.9743107330517713E-3</v>
      </c>
      <c r="E49" s="8">
        <v>139.1580117668374</v>
      </c>
      <c r="K49" s="8">
        <f t="shared" si="27"/>
        <v>4.3655500984794173</v>
      </c>
      <c r="L49" s="8">
        <f t="shared" si="28"/>
        <v>-4.3655500984794173</v>
      </c>
      <c r="N49" s="8">
        <f t="shared" si="25"/>
        <v>13.693955687545895</v>
      </c>
      <c r="O49" s="8">
        <f t="shared" si="29"/>
        <v>-4.3655500984794173</v>
      </c>
      <c r="P49" s="8">
        <f t="shared" si="24"/>
        <v>1892.8389812208886</v>
      </c>
      <c r="Q49" s="8">
        <v>606.68110027740829</v>
      </c>
      <c r="R49" s="8">
        <f t="shared" si="30"/>
        <v>2499.5200814982968</v>
      </c>
      <c r="W49" s="9">
        <f t="shared" si="31"/>
        <v>5.0195258284976098E-2</v>
      </c>
      <c r="X49" s="9">
        <f t="shared" si="32"/>
        <v>5.5673892279121596E-2</v>
      </c>
      <c r="Y49" s="9">
        <f t="shared" si="33"/>
        <v>7.2251893152223984E-3</v>
      </c>
      <c r="Z49" s="9">
        <f t="shared" si="34"/>
        <v>5.7420447600198495E-2</v>
      </c>
      <c r="AC49" s="8">
        <v>31.3</v>
      </c>
      <c r="AD49" s="9">
        <f t="shared" si="36"/>
        <v>-6.3492063492063266E-3</v>
      </c>
      <c r="AE49" s="8">
        <v>844.3</v>
      </c>
      <c r="AG49" s="9">
        <f t="shared" si="26"/>
        <v>3.7072130759208816E-2</v>
      </c>
    </row>
    <row r="50" spans="1:33">
      <c r="A50" s="8">
        <v>1820</v>
      </c>
      <c r="B50" s="8">
        <v>142.24590490399132</v>
      </c>
      <c r="C50" s="9">
        <f t="shared" si="35"/>
        <v>-8.9020711632314953E-3</v>
      </c>
      <c r="D50" s="9">
        <f t="shared" si="37"/>
        <v>-8.9459115250556387E-3</v>
      </c>
      <c r="E50" s="8">
        <v>137.68246440362194</v>
      </c>
      <c r="K50" s="8">
        <f t="shared" si="27"/>
        <v>4.5634405003693814</v>
      </c>
      <c r="L50" s="8">
        <f t="shared" si="28"/>
        <v>-4.5634405003693814</v>
      </c>
      <c r="N50" s="8">
        <f t="shared" si="25"/>
        <v>13.484392216008018</v>
      </c>
      <c r="O50" s="8">
        <f t="shared" si="29"/>
        <v>-4.5634405003693814</v>
      </c>
      <c r="P50" s="8">
        <f t="shared" si="24"/>
        <v>1888.4734311224092</v>
      </c>
      <c r="Q50" s="8">
        <v>592.9871445898624</v>
      </c>
      <c r="R50" s="8">
        <f t="shared" si="30"/>
        <v>2481.4605757122717</v>
      </c>
      <c r="W50" s="9">
        <f t="shared" si="31"/>
        <v>5.0050391049216825E-2</v>
      </c>
      <c r="X50" s="9">
        <f t="shared" si="32"/>
        <v>5.5484445633032849E-2</v>
      </c>
      <c r="Y50" s="9">
        <f t="shared" si="33"/>
        <v>7.2730684875769178E-3</v>
      </c>
      <c r="Z50" s="9">
        <f t="shared" si="34"/>
        <v>5.7323459536793742E-2</v>
      </c>
      <c r="AC50" s="8">
        <v>31.1</v>
      </c>
      <c r="AD50" s="9">
        <f t="shared" si="36"/>
        <v>-6.389776357827448E-3</v>
      </c>
      <c r="AE50" s="8">
        <v>840.1</v>
      </c>
      <c r="AG50" s="9">
        <f t="shared" si="26"/>
        <v>3.701940245208904E-2</v>
      </c>
    </row>
    <row r="51" spans="1:33">
      <c r="A51" s="8">
        <v>1821</v>
      </c>
      <c r="B51" s="8">
        <v>140.59584985107401</v>
      </c>
      <c r="C51" s="9">
        <f t="shared" si="35"/>
        <v>-1.1600017969100818E-2</v>
      </c>
      <c r="D51" s="9">
        <f t="shared" si="37"/>
        <v>-1.0251963854879143E-2</v>
      </c>
      <c r="E51" s="8">
        <v>136.21749237858339</v>
      </c>
      <c r="K51" s="8">
        <f t="shared" si="27"/>
        <v>4.3783574724906202</v>
      </c>
      <c r="L51" s="8">
        <f t="shared" si="28"/>
        <v>-4.3783574724906202</v>
      </c>
      <c r="N51" s="8">
        <f t="shared" si="25"/>
        <v>13.259664035442256</v>
      </c>
      <c r="O51" s="8">
        <f t="shared" si="29"/>
        <v>-4.3783574724906202</v>
      </c>
      <c r="P51" s="8">
        <f t="shared" ref="P51:P82" si="38">P50+O50</f>
        <v>1883.9099906220399</v>
      </c>
      <c r="Q51" s="8">
        <v>579.50275237385438</v>
      </c>
      <c r="R51" s="8">
        <f t="shared" si="30"/>
        <v>2463.4127429958944</v>
      </c>
      <c r="W51" s="9">
        <f t="shared" si="31"/>
        <v>4.9913612200286513E-2</v>
      </c>
      <c r="X51" s="9">
        <f t="shared" si="32"/>
        <v>5.5296252228086491E-2</v>
      </c>
      <c r="Y51" s="9">
        <f t="shared" si="33"/>
        <v>7.1599944256528804E-3</v>
      </c>
      <c r="Z51" s="9">
        <f t="shared" si="34"/>
        <v>5.707360662593939E-2</v>
      </c>
      <c r="AC51" s="8">
        <v>32</v>
      </c>
      <c r="AD51" s="9">
        <f t="shared" si="36"/>
        <v>2.8938906752411508E-2</v>
      </c>
      <c r="AE51" s="8">
        <v>838.3</v>
      </c>
      <c r="AG51" s="9">
        <f t="shared" si="26"/>
        <v>3.8172491947989981E-2</v>
      </c>
    </row>
    <row r="52" spans="1:33">
      <c r="A52" s="8">
        <v>1822</v>
      </c>
      <c r="B52" s="8">
        <v>135.1152866766632</v>
      </c>
      <c r="C52" s="9">
        <f t="shared" si="35"/>
        <v>-3.8980974048779427E-2</v>
      </c>
      <c r="D52" s="9">
        <f t="shared" si="37"/>
        <v>-2.538664693041548E-2</v>
      </c>
      <c r="E52" s="8">
        <v>134.78174077386095</v>
      </c>
      <c r="K52" s="8">
        <f t="shared" si="27"/>
        <v>0.33354590280225693</v>
      </c>
      <c r="L52" s="8">
        <f t="shared" si="28"/>
        <v>-0.33354590280225693</v>
      </c>
      <c r="N52" s="8">
        <f t="shared" ref="N52:N83" si="39">Q52-Q53</f>
        <v>13.07524036401901</v>
      </c>
      <c r="O52" s="8">
        <f t="shared" si="29"/>
        <v>-0.33354590280225693</v>
      </c>
      <c r="P52" s="8">
        <f t="shared" si="38"/>
        <v>1879.5316331495492</v>
      </c>
      <c r="Q52" s="8">
        <v>566.24308833841212</v>
      </c>
      <c r="R52" s="8">
        <f t="shared" si="30"/>
        <v>2445.7747214879614</v>
      </c>
      <c r="W52" s="9">
        <f t="shared" si="31"/>
        <v>4.9761942234728018E-2</v>
      </c>
      <c r="X52" s="9">
        <f t="shared" si="32"/>
        <v>5.5107994857295103E-2</v>
      </c>
      <c r="Y52" s="9">
        <f t="shared" si="33"/>
        <v>5.4824290025630908E-3</v>
      </c>
      <c r="Z52" s="9">
        <f t="shared" si="34"/>
        <v>5.5244371237291104E-2</v>
      </c>
      <c r="AC52" s="8">
        <v>31.9</v>
      </c>
      <c r="AD52" s="9">
        <f t="shared" si="36"/>
        <v>-3.1250000000000444E-3</v>
      </c>
      <c r="AE52" s="8">
        <v>831.1</v>
      </c>
      <c r="AG52" s="9">
        <f t="shared" si="26"/>
        <v>3.8382866081097339E-2</v>
      </c>
    </row>
    <row r="53" spans="1:33">
      <c r="A53" s="8">
        <v>1823</v>
      </c>
      <c r="B53" s="8">
        <v>133.89535634730726</v>
      </c>
      <c r="C53" s="9">
        <f t="shared" si="35"/>
        <v>-9.0288105762251769E-3</v>
      </c>
      <c r="D53" s="9">
        <f t="shared" si="37"/>
        <v>-2.4119798742817666E-2</v>
      </c>
      <c r="E53" s="8">
        <v>133.54513314936489</v>
      </c>
      <c r="K53" s="8">
        <f t="shared" si="27"/>
        <v>0.35022319794236978</v>
      </c>
      <c r="L53" s="8">
        <f t="shared" si="28"/>
        <v>-0.35022319794236978</v>
      </c>
      <c r="N53" s="8">
        <f t="shared" si="39"/>
        <v>12.902495661158014</v>
      </c>
      <c r="O53" s="8">
        <f t="shared" si="29"/>
        <v>-0.35022319794236978</v>
      </c>
      <c r="P53" s="8">
        <f t="shared" si="38"/>
        <v>1879.198087246747</v>
      </c>
      <c r="Q53" s="8">
        <v>553.16784797439311</v>
      </c>
      <c r="R53" s="8">
        <f t="shared" si="30"/>
        <v>2432.3659352211403</v>
      </c>
      <c r="W53" s="9">
        <f t="shared" si="31"/>
        <v>4.9598884666685057E-2</v>
      </c>
      <c r="X53" s="9">
        <f t="shared" si="32"/>
        <v>5.4903389007223344E-2</v>
      </c>
      <c r="Y53" s="9">
        <f t="shared" si="33"/>
        <v>5.4484889247947404E-3</v>
      </c>
      <c r="Z53" s="9">
        <f t="shared" si="34"/>
        <v>5.5047373591479799E-2</v>
      </c>
      <c r="AC53" s="8">
        <v>31.4</v>
      </c>
      <c r="AD53" s="9">
        <f t="shared" si="36"/>
        <v>-1.5673981191222541E-2</v>
      </c>
      <c r="AE53" s="8">
        <v>836.1</v>
      </c>
      <c r="AG53" s="9">
        <f t="shared" si="26"/>
        <v>3.7555316349718933E-2</v>
      </c>
    </row>
    <row r="54" spans="1:33">
      <c r="A54" s="8">
        <v>1824</v>
      </c>
      <c r="B54" s="8">
        <v>132.69154323617363</v>
      </c>
      <c r="C54" s="9">
        <f t="shared" si="35"/>
        <v>-8.9907009770457957E-3</v>
      </c>
      <c r="D54" s="9">
        <f t="shared" si="37"/>
        <v>-9.0097559598286692E-3</v>
      </c>
      <c r="E54" s="8">
        <v>132.32380887833415</v>
      </c>
      <c r="K54" s="8">
        <f t="shared" si="27"/>
        <v>0.36773435783948116</v>
      </c>
      <c r="L54" s="8">
        <f t="shared" si="28"/>
        <v>-0.36773435783948116</v>
      </c>
      <c r="N54" s="8">
        <f t="shared" si="39"/>
        <v>12.576182198088304</v>
      </c>
      <c r="O54" s="8">
        <f t="shared" si="29"/>
        <v>-0.36773435783948116</v>
      </c>
      <c r="P54" s="8">
        <f t="shared" si="38"/>
        <v>1878.8478640488047</v>
      </c>
      <c r="Q54" s="8">
        <v>540.2653523132351</v>
      </c>
      <c r="R54" s="8">
        <f t="shared" si="30"/>
        <v>2419.1132163620396</v>
      </c>
      <c r="W54" s="9">
        <f t="shared" si="31"/>
        <v>4.9500629350587889E-2</v>
      </c>
      <c r="X54" s="9">
        <f t="shared" si="32"/>
        <v>5.4699303853718781E-2</v>
      </c>
      <c r="Y54" s="9">
        <f t="shared" si="33"/>
        <v>5.3506865525679579E-3</v>
      </c>
      <c r="Z54" s="9">
        <f t="shared" si="34"/>
        <v>5.4851315903155846E-2</v>
      </c>
      <c r="AC54" s="8">
        <v>30</v>
      </c>
      <c r="AD54" s="9">
        <f t="shared" si="36"/>
        <v>-4.4585987261146487E-2</v>
      </c>
      <c r="AE54" s="8">
        <v>828.6</v>
      </c>
      <c r="AG54" s="9">
        <f t="shared" si="26"/>
        <v>3.6205648081100654E-2</v>
      </c>
    </row>
    <row r="55" spans="1:33">
      <c r="A55" s="8">
        <v>1825</v>
      </c>
      <c r="B55" s="8">
        <v>131.57698284041703</v>
      </c>
      <c r="C55" s="9">
        <f t="shared" si="35"/>
        <v>-8.3996339824974342E-3</v>
      </c>
      <c r="D55" s="9">
        <f t="shared" si="37"/>
        <v>-8.6952115328454704E-3</v>
      </c>
      <c r="E55" s="8">
        <v>130.89940435504619</v>
      </c>
      <c r="K55" s="8">
        <f t="shared" si="27"/>
        <v>0.67757848537084442</v>
      </c>
      <c r="L55" s="8">
        <f t="shared" si="28"/>
        <v>-0.67757848537084442</v>
      </c>
      <c r="N55" s="8">
        <f t="shared" si="39"/>
        <v>13.00225195589644</v>
      </c>
      <c r="O55" s="8">
        <f t="shared" si="29"/>
        <v>-0.67757848537084442</v>
      </c>
      <c r="P55" s="8">
        <f t="shared" si="38"/>
        <v>1878.4801296909652</v>
      </c>
      <c r="Q55" s="8">
        <v>527.68917011514679</v>
      </c>
      <c r="R55" s="8">
        <f t="shared" si="30"/>
        <v>2406.1692998061121</v>
      </c>
      <c r="W55" s="9">
        <f t="shared" si="31"/>
        <v>4.8997862456581852E-2</v>
      </c>
      <c r="X55" s="9">
        <f t="shared" si="32"/>
        <v>5.4401576965342376E-2</v>
      </c>
      <c r="Y55" s="9">
        <f t="shared" si="33"/>
        <v>5.6853150118612176E-3</v>
      </c>
      <c r="Z55" s="9">
        <f t="shared" si="34"/>
        <v>5.4683177468443069E-2</v>
      </c>
      <c r="AC55" s="8">
        <v>30.2</v>
      </c>
      <c r="AD55" s="9">
        <f t="shared" si="36"/>
        <v>6.6666666666665986E-3</v>
      </c>
      <c r="AE55" s="8">
        <v>820.2</v>
      </c>
      <c r="AG55" s="9">
        <f t="shared" si="26"/>
        <v>3.6820287734698851E-2</v>
      </c>
    </row>
    <row r="56" spans="1:33">
      <c r="A56" s="8">
        <v>1826</v>
      </c>
      <c r="B56" s="8">
        <v>129.65240497797322</v>
      </c>
      <c r="C56" s="9">
        <f t="shared" si="35"/>
        <v>-1.4627010141872843E-2</v>
      </c>
      <c r="D56" s="9">
        <f t="shared" si="37"/>
        <v>-1.1518226062270931E-2</v>
      </c>
      <c r="E56" s="8">
        <v>129.65240497797322</v>
      </c>
      <c r="N56" s="8">
        <f t="shared" si="39"/>
        <v>12.509713749319246</v>
      </c>
      <c r="O56" s="8">
        <f t="shared" si="29"/>
        <v>0</v>
      </c>
      <c r="P56" s="8">
        <f t="shared" si="38"/>
        <v>1877.8025512055945</v>
      </c>
      <c r="Q56" s="8">
        <v>514.68691815925035</v>
      </c>
      <c r="R56" s="8">
        <f t="shared" si="30"/>
        <v>2392.4894693648448</v>
      </c>
      <c r="W56" s="9">
        <f t="shared" si="31"/>
        <v>4.8962677883699471E-2</v>
      </c>
      <c r="X56" s="9">
        <f t="shared" si="32"/>
        <v>5.4191421378499603E-2</v>
      </c>
      <c r="Y56" s="9">
        <f t="shared" si="33"/>
        <v>5.2287434948001298E-3</v>
      </c>
      <c r="Z56" s="9">
        <f t="shared" si="34"/>
        <v>5.4191421378499603E-2</v>
      </c>
      <c r="AC56" s="8">
        <v>29.2</v>
      </c>
      <c r="AD56" s="9">
        <f t="shared" si="36"/>
        <v>-3.3112582781456901E-2</v>
      </c>
      <c r="AE56" s="8">
        <v>811</v>
      </c>
      <c r="AG56" s="9">
        <f t="shared" si="26"/>
        <v>3.6004932182490748E-2</v>
      </c>
    </row>
    <row r="57" spans="1:33">
      <c r="A57" s="8">
        <v>1827</v>
      </c>
      <c r="B57" s="8">
        <v>128.4852387317334</v>
      </c>
      <c r="C57" s="9">
        <f t="shared" si="35"/>
        <v>-9.0022722404424771E-3</v>
      </c>
      <c r="D57" s="9">
        <f t="shared" si="37"/>
        <v>-1.1818643190914302E-2</v>
      </c>
      <c r="E57" s="8">
        <v>128.4852387317334</v>
      </c>
      <c r="N57" s="8">
        <f t="shared" si="39"/>
        <v>12.40748322550354</v>
      </c>
      <c r="P57" s="8">
        <f t="shared" si="38"/>
        <v>1877.8025512055945</v>
      </c>
      <c r="Q57" s="8">
        <v>502.17720440993111</v>
      </c>
      <c r="R57" s="8">
        <f t="shared" si="30"/>
        <v>2379.9797556155254</v>
      </c>
      <c r="W57" s="9">
        <f t="shared" si="31"/>
        <v>4.8772581040803474E-2</v>
      </c>
      <c r="X57" s="9">
        <f t="shared" si="32"/>
        <v>5.3985853631138864E-2</v>
      </c>
      <c r="Y57" s="9">
        <f t="shared" si="33"/>
        <v>5.2132725903353905E-3</v>
      </c>
      <c r="Z57" s="9">
        <f t="shared" si="34"/>
        <v>5.3985853631138864E-2</v>
      </c>
      <c r="AC57" s="8">
        <v>29.2</v>
      </c>
      <c r="AD57" s="9">
        <f t="shared" si="36"/>
        <v>0</v>
      </c>
      <c r="AE57" s="8">
        <v>810</v>
      </c>
      <c r="AG57" s="9">
        <f t="shared" si="26"/>
        <v>3.6049382716049384E-2</v>
      </c>
    </row>
    <row r="58" spans="1:33">
      <c r="A58" s="8">
        <v>1828</v>
      </c>
      <c r="B58" s="8">
        <v>127.32761067470591</v>
      </c>
      <c r="C58" s="9">
        <f t="shared" si="35"/>
        <v>-9.0098136443870214E-3</v>
      </c>
      <c r="D58" s="9">
        <f t="shared" si="37"/>
        <v>-9.0060429495883998E-3</v>
      </c>
      <c r="E58" s="8">
        <v>127.32761067470591</v>
      </c>
      <c r="N58" s="8">
        <f t="shared" si="39"/>
        <v>12.336967912198759</v>
      </c>
      <c r="P58" s="8">
        <f t="shared" si="38"/>
        <v>1877.8025512055945</v>
      </c>
      <c r="Q58" s="8">
        <v>489.76972118442757</v>
      </c>
      <c r="R58" s="8">
        <f t="shared" si="30"/>
        <v>2367.5722723900221</v>
      </c>
      <c r="W58" s="9">
        <f t="shared" si="31"/>
        <v>4.8569010586707935E-2</v>
      </c>
      <c r="X58" s="9">
        <f t="shared" si="32"/>
        <v>5.3779820012071246E-2</v>
      </c>
      <c r="Y58" s="9">
        <f t="shared" si="33"/>
        <v>5.2108094253633108E-3</v>
      </c>
      <c r="Z58" s="9">
        <f t="shared" si="34"/>
        <v>5.3779820012071246E-2</v>
      </c>
      <c r="AC58" s="8">
        <v>29.4</v>
      </c>
      <c r="AD58" s="9">
        <f t="shared" si="36"/>
        <v>6.8493150684931781E-3</v>
      </c>
      <c r="AE58" s="8">
        <v>806.4</v>
      </c>
      <c r="AG58" s="9">
        <f t="shared" si="26"/>
        <v>3.6458333333333336E-2</v>
      </c>
    </row>
    <row r="59" spans="1:33">
      <c r="A59" s="8">
        <v>1829</v>
      </c>
      <c r="B59" s="8">
        <v>126.1765617525157</v>
      </c>
      <c r="C59" s="9">
        <f t="shared" si="35"/>
        <v>-9.0400575027743679E-3</v>
      </c>
      <c r="D59" s="9">
        <f t="shared" si="37"/>
        <v>-9.0249356889583465E-3</v>
      </c>
      <c r="E59" s="8">
        <v>126.17656175251568</v>
      </c>
      <c r="N59" s="8">
        <f t="shared" si="39"/>
        <v>12.280548906428464</v>
      </c>
      <c r="P59" s="8">
        <f t="shared" si="38"/>
        <v>1877.8025512055945</v>
      </c>
      <c r="Q59" s="8">
        <v>477.43275327222881</v>
      </c>
      <c r="R59" s="8">
        <f t="shared" si="30"/>
        <v>2355.2353044778233</v>
      </c>
      <c r="W59" s="9">
        <f t="shared" si="31"/>
        <v>4.8358655557491727E-2</v>
      </c>
      <c r="X59" s="9">
        <f t="shared" si="32"/>
        <v>5.3572805024035657E-2</v>
      </c>
      <c r="Y59" s="9">
        <f t="shared" si="33"/>
        <v>5.2141494665439263E-3</v>
      </c>
      <c r="Z59" s="9">
        <f t="shared" si="34"/>
        <v>5.3572805024035663E-2</v>
      </c>
      <c r="AC59" s="8">
        <v>29.3</v>
      </c>
      <c r="AD59" s="9">
        <f t="shared" si="36"/>
        <v>-3.4013605442175798E-3</v>
      </c>
      <c r="AE59" s="8">
        <v>801.3</v>
      </c>
      <c r="AG59" s="9">
        <f t="shared" si="26"/>
        <v>3.6565580930987149E-2</v>
      </c>
    </row>
    <row r="60" spans="1:33">
      <c r="A60" s="8">
        <v>1830</v>
      </c>
      <c r="B60" s="8">
        <v>125.03077676845396</v>
      </c>
      <c r="C60" s="9">
        <f t="shared" si="35"/>
        <v>-9.0808068324852442E-3</v>
      </c>
      <c r="D60" s="9">
        <f t="shared" si="37"/>
        <v>-9.0604323770910877E-3</v>
      </c>
      <c r="E60" s="8">
        <v>125.03077676845395</v>
      </c>
      <c r="N60" s="8">
        <f t="shared" si="39"/>
        <v>12.222884621330365</v>
      </c>
      <c r="P60" s="8">
        <f t="shared" si="38"/>
        <v>1877.8025512055945</v>
      </c>
      <c r="Q60" s="8">
        <v>465.15220436580034</v>
      </c>
      <c r="R60" s="8">
        <f t="shared" si="30"/>
        <v>2342.9547555713948</v>
      </c>
      <c r="W60" s="9">
        <f t="shared" si="31"/>
        <v>4.8147704038617782E-2</v>
      </c>
      <c r="X60" s="9">
        <f t="shared" si="32"/>
        <v>5.3364571582587693E-2</v>
      </c>
      <c r="Y60" s="9">
        <f t="shared" si="33"/>
        <v>5.2168675439699108E-3</v>
      </c>
      <c r="Z60" s="9">
        <f t="shared" si="34"/>
        <v>5.33645715825877E-2</v>
      </c>
      <c r="AC60" s="8">
        <v>29.1</v>
      </c>
      <c r="AD60" s="9">
        <f t="shared" si="36"/>
        <v>-6.8259385665528916E-3</v>
      </c>
      <c r="AE60" s="8">
        <v>798.2</v>
      </c>
      <c r="AG60" s="9">
        <f t="shared" si="26"/>
        <v>3.6457028313705835E-2</v>
      </c>
    </row>
    <row r="61" spans="1:33">
      <c r="A61" s="8">
        <v>1831</v>
      </c>
      <c r="B61" s="8">
        <v>123.89037190807281</v>
      </c>
      <c r="C61" s="9">
        <f t="shared" si="35"/>
        <v>-9.12099316549142E-3</v>
      </c>
      <c r="D61" s="9">
        <f t="shared" si="37"/>
        <v>-9.1009002027100383E-3</v>
      </c>
      <c r="E61" s="8">
        <v>123.89037190807281</v>
      </c>
      <c r="N61" s="8">
        <f t="shared" si="39"/>
        <v>12.203909809326035</v>
      </c>
      <c r="P61" s="8">
        <f t="shared" si="38"/>
        <v>1877.8025512055945</v>
      </c>
      <c r="Q61" s="8">
        <v>452.92931974446998</v>
      </c>
      <c r="R61" s="8">
        <f t="shared" si="30"/>
        <v>2330.7318709500646</v>
      </c>
      <c r="W61" s="9">
        <f t="shared" si="31"/>
        <v>4.791905216159445E-2</v>
      </c>
      <c r="X61" s="9">
        <f t="shared" si="32"/>
        <v>5.3155136998908413E-2</v>
      </c>
      <c r="Y61" s="9">
        <f t="shared" si="33"/>
        <v>5.2360848373139614E-3</v>
      </c>
      <c r="Z61" s="9">
        <f t="shared" si="34"/>
        <v>5.3155136998908413E-2</v>
      </c>
      <c r="AC61" s="8">
        <v>29.2</v>
      </c>
      <c r="AD61" s="9">
        <f t="shared" si="36"/>
        <v>3.4364261168384758E-3</v>
      </c>
      <c r="AE61" s="8">
        <v>786.2</v>
      </c>
      <c r="AG61" s="9">
        <f t="shared" si="26"/>
        <v>3.7140676672602388E-2</v>
      </c>
    </row>
    <row r="62" spans="1:33">
      <c r="A62" s="8">
        <v>1832</v>
      </c>
      <c r="B62" s="8">
        <v>122.75173741274909</v>
      </c>
      <c r="C62" s="9">
        <f t="shared" si="35"/>
        <v>-9.1906616937802443E-3</v>
      </c>
      <c r="D62" s="9">
        <f t="shared" si="37"/>
        <v>-9.1558280419551386E-3</v>
      </c>
      <c r="E62" s="8">
        <v>122.75173741274908</v>
      </c>
      <c r="N62" s="8">
        <f t="shared" si="39"/>
        <v>12.196704467127972</v>
      </c>
      <c r="P62" s="8">
        <f t="shared" si="38"/>
        <v>1877.8025512055945</v>
      </c>
      <c r="Q62" s="8">
        <v>440.72540993514394</v>
      </c>
      <c r="R62" s="8">
        <f t="shared" si="30"/>
        <v>2318.5279611407386</v>
      </c>
      <c r="W62" s="9">
        <f t="shared" si="31"/>
        <v>4.7683286463893644E-2</v>
      </c>
      <c r="X62" s="9">
        <f t="shared" si="32"/>
        <v>5.2943824474022738E-2</v>
      </c>
      <c r="Y62" s="9">
        <f t="shared" si="33"/>
        <v>5.2605380101290967E-3</v>
      </c>
      <c r="Z62" s="9">
        <f t="shared" si="34"/>
        <v>5.2943824474022745E-2</v>
      </c>
    </row>
    <row r="63" spans="1:33">
      <c r="A63" s="8">
        <v>1833</v>
      </c>
      <c r="B63" s="8">
        <v>121.61377518158542</v>
      </c>
      <c r="C63" s="9">
        <f t="shared" si="35"/>
        <v>-9.2704368601912446E-3</v>
      </c>
      <c r="D63" s="9">
        <f t="shared" si="37"/>
        <v>-9.2305500799068074E-3</v>
      </c>
      <c r="E63" s="8">
        <v>121.61377518158541</v>
      </c>
      <c r="N63" s="8">
        <f t="shared" si="39"/>
        <v>12.200980206718668</v>
      </c>
      <c r="P63" s="8">
        <f t="shared" si="38"/>
        <v>1877.8025512055945</v>
      </c>
      <c r="Q63" s="8">
        <v>428.52870546801597</v>
      </c>
      <c r="R63" s="8">
        <f t="shared" si="30"/>
        <v>2306.3312566736104</v>
      </c>
      <c r="W63" s="9">
        <f t="shared" si="31"/>
        <v>4.7440190847810516E-2</v>
      </c>
      <c r="X63" s="9">
        <f t="shared" si="32"/>
        <v>5.2730402378098659E-2</v>
      </c>
      <c r="Y63" s="9">
        <f t="shared" si="33"/>
        <v>5.2902115302881393E-3</v>
      </c>
      <c r="Z63" s="9">
        <f t="shared" si="34"/>
        <v>5.2730402378098666E-2</v>
      </c>
    </row>
    <row r="64" spans="1:33">
      <c r="A64" s="8">
        <v>1834</v>
      </c>
      <c r="B64" s="8">
        <v>120.47541402051593</v>
      </c>
      <c r="C64" s="9">
        <f t="shared" si="35"/>
        <v>-9.3604623273125798E-3</v>
      </c>
      <c r="D64" s="9">
        <f t="shared" si="37"/>
        <v>-9.3154506163509732E-3</v>
      </c>
      <c r="E64" s="8">
        <v>120.47541402051591</v>
      </c>
      <c r="N64" s="8">
        <f t="shared" si="39"/>
        <v>12.22371487326609</v>
      </c>
      <c r="P64" s="8">
        <f t="shared" si="38"/>
        <v>1877.8025512055945</v>
      </c>
      <c r="Q64" s="8">
        <v>416.3277252612973</v>
      </c>
      <c r="R64" s="8">
        <f t="shared" si="30"/>
        <v>2294.1302764668917</v>
      </c>
      <c r="W64" s="9">
        <f t="shared" si="31"/>
        <v>4.7186378322840672E-2</v>
      </c>
      <c r="X64" s="9">
        <f t="shared" si="32"/>
        <v>5.2514634960511397E-2</v>
      </c>
      <c r="Y64" s="9">
        <f t="shared" si="33"/>
        <v>5.3282566376707243E-3</v>
      </c>
      <c r="Z64" s="9">
        <f t="shared" si="34"/>
        <v>5.2514634960511404E-2</v>
      </c>
    </row>
    <row r="65" spans="1:26">
      <c r="A65" s="8">
        <v>1835</v>
      </c>
      <c r="B65" s="8">
        <v>119.33493169696858</v>
      </c>
      <c r="C65" s="9">
        <f t="shared" si="35"/>
        <v>-9.4665150796089392E-3</v>
      </c>
      <c r="D65" s="9">
        <f t="shared" si="37"/>
        <v>-9.4134901227191925E-3</v>
      </c>
      <c r="E65" s="8">
        <v>119.33493169696857</v>
      </c>
      <c r="N65" s="8">
        <f t="shared" si="39"/>
        <v>12.246979614469808</v>
      </c>
      <c r="P65" s="8">
        <f t="shared" si="38"/>
        <v>1877.8025512055945</v>
      </c>
      <c r="Q65" s="8">
        <v>404.10401038803121</v>
      </c>
      <c r="R65" s="8">
        <f t="shared" si="30"/>
        <v>2281.9065615936256</v>
      </c>
      <c r="W65" s="9">
        <f t="shared" si="31"/>
        <v>4.6929157348016587E-2</v>
      </c>
      <c r="X65" s="9">
        <f t="shared" si="32"/>
        <v>5.2296151694146531E-2</v>
      </c>
      <c r="Y65" s="9">
        <f t="shared" si="33"/>
        <v>5.3669943461299432E-3</v>
      </c>
      <c r="Z65" s="9">
        <f t="shared" si="34"/>
        <v>5.2296151694146538E-2</v>
      </c>
    </row>
    <row r="66" spans="1:26">
      <c r="A66" s="8">
        <v>1836</v>
      </c>
      <c r="B66" s="8">
        <v>118.1922787545562</v>
      </c>
      <c r="C66" s="9">
        <f t="shared" si="35"/>
        <v>-9.5751757357515066E-3</v>
      </c>
      <c r="D66" s="9">
        <f t="shared" si="37"/>
        <v>-9.5208468977593386E-3</v>
      </c>
      <c r="E66" s="8">
        <v>118.19227875455618</v>
      </c>
      <c r="N66" s="8">
        <f t="shared" si="39"/>
        <v>12.305925288046694</v>
      </c>
      <c r="P66" s="8">
        <f t="shared" si="38"/>
        <v>1877.8025512055945</v>
      </c>
      <c r="Q66" s="8">
        <v>391.85703077356141</v>
      </c>
      <c r="R66" s="8">
        <f t="shared" si="30"/>
        <v>2269.659581979156</v>
      </c>
      <c r="W66" s="9">
        <f t="shared" si="31"/>
        <v>4.6652966950301855E-2</v>
      </c>
      <c r="X66" s="9">
        <f t="shared" si="32"/>
        <v>5.2074892505021328E-2</v>
      </c>
      <c r="Y66" s="9">
        <f t="shared" si="33"/>
        <v>5.4219255547194693E-3</v>
      </c>
      <c r="Z66" s="9">
        <f t="shared" si="34"/>
        <v>5.2074892505021335E-2</v>
      </c>
    </row>
    <row r="67" spans="1:26">
      <c r="A67" s="8">
        <v>1837</v>
      </c>
      <c r="B67" s="8">
        <v>117.04412613389862</v>
      </c>
      <c r="C67" s="9">
        <f t="shared" si="35"/>
        <v>-9.7142777240287748E-3</v>
      </c>
      <c r="D67" s="9">
        <f t="shared" si="37"/>
        <v>-9.6447291721151185E-3</v>
      </c>
      <c r="E67" s="8">
        <v>117.0441261338986</v>
      </c>
      <c r="N67" s="8">
        <f t="shared" si="39"/>
        <v>12.367436801384258</v>
      </c>
      <c r="P67" s="8">
        <f t="shared" si="38"/>
        <v>1877.8025512055945</v>
      </c>
      <c r="Q67" s="8">
        <v>379.55110548551471</v>
      </c>
      <c r="R67" s="8">
        <f t="shared" si="30"/>
        <v>2257.3536566911093</v>
      </c>
      <c r="W67" s="9">
        <f t="shared" si="31"/>
        <v>4.6371417709510476E-2</v>
      </c>
      <c r="X67" s="9">
        <f t="shared" si="32"/>
        <v>5.1850150191115857E-2</v>
      </c>
      <c r="Y67" s="9">
        <f t="shared" si="33"/>
        <v>5.4787324816053789E-3</v>
      </c>
      <c r="Z67" s="9">
        <f t="shared" si="34"/>
        <v>5.1850150191115864E-2</v>
      </c>
    </row>
    <row r="68" spans="1:26">
      <c r="A68" s="8">
        <v>1838</v>
      </c>
      <c r="B68" s="8">
        <v>115.89023444010463</v>
      </c>
      <c r="C68" s="9">
        <f t="shared" si="35"/>
        <v>-9.8586040317301116E-3</v>
      </c>
      <c r="D68" s="9">
        <f t="shared" si="37"/>
        <v>-9.7864435073732325E-3</v>
      </c>
      <c r="E68" s="8">
        <v>115.89023444010462</v>
      </c>
      <c r="N68" s="8">
        <f t="shared" si="39"/>
        <v>12.440427880898028</v>
      </c>
      <c r="P68" s="8">
        <f t="shared" si="38"/>
        <v>1877.8025512055945</v>
      </c>
      <c r="Q68" s="8">
        <v>367.18366868413045</v>
      </c>
      <c r="R68" s="8">
        <f t="shared" ref="R68:R99" si="40">Q68+P68</f>
        <v>2244.9862198897249</v>
      </c>
      <c r="W68" s="9">
        <f t="shared" ref="W68:W99" si="41">(E68-N68)/R68</f>
        <v>4.6080374856059522E-2</v>
      </c>
      <c r="X68" s="9">
        <f t="shared" ref="X68:X99" si="42">E68/R68</f>
        <v>5.1621802135514767E-2</v>
      </c>
      <c r="Y68" s="9">
        <f t="shared" ref="Y68:Y99" si="43">(K68+N68)/R68</f>
        <v>5.5414272794552426E-3</v>
      </c>
      <c r="Z68" s="9">
        <f t="shared" ref="Z68:Z99" si="44">B68/R68</f>
        <v>5.1621802135514774E-2</v>
      </c>
    </row>
    <row r="69" spans="1:26">
      <c r="A69" s="8">
        <v>1839</v>
      </c>
      <c r="B69" s="8">
        <v>114.72953262051622</v>
      </c>
      <c r="C69" s="9">
        <f t="shared" ref="C69:C100" si="45">B69/B68-1</f>
        <v>-1.0015527410019098E-2</v>
      </c>
      <c r="D69" s="9">
        <f t="shared" si="37"/>
        <v>-9.9370688298874299E-3</v>
      </c>
      <c r="E69" s="8">
        <v>114.72953262051622</v>
      </c>
      <c r="N69" s="8">
        <f t="shared" si="39"/>
        <v>12.51394249663133</v>
      </c>
      <c r="P69" s="8">
        <f t="shared" si="38"/>
        <v>1877.8025512055945</v>
      </c>
      <c r="Q69" s="8">
        <v>354.74324080323242</v>
      </c>
      <c r="R69" s="8">
        <f t="shared" si="40"/>
        <v>2232.545792008827</v>
      </c>
      <c r="W69" s="9">
        <f t="shared" si="41"/>
        <v>4.5784319627286171E-2</v>
      </c>
      <c r="X69" s="9">
        <f t="shared" si="42"/>
        <v>5.1389554037896579E-2</v>
      </c>
      <c r="Y69" s="9">
        <f t="shared" si="43"/>
        <v>5.6052344106104022E-3</v>
      </c>
      <c r="Z69" s="9">
        <f t="shared" si="44"/>
        <v>5.1389554037896579E-2</v>
      </c>
    </row>
    <row r="70" spans="1:26">
      <c r="A70" s="8">
        <v>1840</v>
      </c>
      <c r="B70" s="8">
        <v>113.56197182878756</v>
      </c>
      <c r="C70" s="9">
        <f t="shared" si="45"/>
        <v>-1.0176636869867917E-2</v>
      </c>
      <c r="D70" s="9">
        <f t="shared" ref="D70:D101" si="46">(B70/B68)^0.5-1</f>
        <v>-1.0096085417566902E-2</v>
      </c>
      <c r="E70" s="8">
        <v>113.56197182878756</v>
      </c>
      <c r="N70" s="8">
        <f t="shared" si="39"/>
        <v>12.602183109225507</v>
      </c>
      <c r="P70" s="8">
        <f t="shared" si="38"/>
        <v>1877.8025512055945</v>
      </c>
      <c r="Q70" s="8">
        <v>342.22929830660109</v>
      </c>
      <c r="R70" s="8">
        <f t="shared" si="40"/>
        <v>2220.0318495121955</v>
      </c>
      <c r="W70" s="9">
        <f t="shared" si="41"/>
        <v>4.5476729868423195E-2</v>
      </c>
      <c r="X70" s="9">
        <f t="shared" si="42"/>
        <v>5.1153307486890502E-2</v>
      </c>
      <c r="Y70" s="9">
        <f t="shared" si="43"/>
        <v>5.6765776184673055E-3</v>
      </c>
      <c r="Z70" s="9">
        <f t="shared" si="44"/>
        <v>5.1153307486890502E-2</v>
      </c>
    </row>
    <row r="71" spans="1:26">
      <c r="A71" s="8">
        <v>1841</v>
      </c>
      <c r="B71" s="8">
        <v>112.3861781176947</v>
      </c>
      <c r="C71" s="9">
        <f t="shared" si="45"/>
        <v>-1.0353762726712401E-2</v>
      </c>
      <c r="D71" s="9">
        <f t="shared" si="46"/>
        <v>-1.0265203760660868E-2</v>
      </c>
      <c r="E71" s="8">
        <v>112.3861781176947</v>
      </c>
      <c r="N71" s="8">
        <f t="shared" si="39"/>
        <v>12.697870536915275</v>
      </c>
      <c r="P71" s="8">
        <f t="shared" si="38"/>
        <v>1877.8025512055945</v>
      </c>
      <c r="Q71" s="8">
        <v>329.62711519737559</v>
      </c>
      <c r="R71" s="8">
        <f t="shared" si="40"/>
        <v>2207.4296664029698</v>
      </c>
      <c r="W71" s="9">
        <f t="shared" si="41"/>
        <v>4.5160355094449094E-2</v>
      </c>
      <c r="X71" s="9">
        <f t="shared" si="42"/>
        <v>5.0912688104273407E-2</v>
      </c>
      <c r="Y71" s="9">
        <f t="shared" si="43"/>
        <v>5.7523330098243133E-3</v>
      </c>
      <c r="Z71" s="9">
        <f t="shared" si="44"/>
        <v>5.0912688104273407E-2</v>
      </c>
    </row>
    <row r="72" spans="1:26">
      <c r="A72" s="8">
        <v>1842</v>
      </c>
      <c r="B72" s="8">
        <v>111.2014566934641</v>
      </c>
      <c r="C72" s="9">
        <f t="shared" si="45"/>
        <v>-1.054152249033613E-2</v>
      </c>
      <c r="D72" s="9">
        <f t="shared" si="46"/>
        <v>-1.0447647061766263E-2</v>
      </c>
      <c r="E72" s="8">
        <v>111.2014566934641</v>
      </c>
      <c r="N72" s="8">
        <f t="shared" si="39"/>
        <v>12.781877889745772</v>
      </c>
      <c r="P72" s="8">
        <f t="shared" si="38"/>
        <v>1877.8025512055945</v>
      </c>
      <c r="Q72" s="8">
        <v>316.92924466046031</v>
      </c>
      <c r="R72" s="8">
        <f t="shared" si="40"/>
        <v>2194.7317958660547</v>
      </c>
      <c r="W72" s="9">
        <f t="shared" si="41"/>
        <v>4.4843556278311152E-2</v>
      </c>
      <c r="X72" s="9">
        <f t="shared" si="42"/>
        <v>5.0667446884817793E-2</v>
      </c>
      <c r="Y72" s="9">
        <f t="shared" si="43"/>
        <v>5.8238906065066435E-3</v>
      </c>
      <c r="Z72" s="9">
        <f t="shared" si="44"/>
        <v>5.0667446884817793E-2</v>
      </c>
    </row>
    <row r="73" spans="1:26">
      <c r="A73" s="8">
        <v>1843</v>
      </c>
      <c r="B73" s="8">
        <v>110.00889731637346</v>
      </c>
      <c r="C73" s="9">
        <f t="shared" si="45"/>
        <v>-1.0724314343993013E-2</v>
      </c>
      <c r="D73" s="9">
        <f t="shared" si="46"/>
        <v>-1.0632922638659115E-2</v>
      </c>
      <c r="E73" s="8">
        <v>110.00889731637346</v>
      </c>
      <c r="N73" s="8">
        <f t="shared" si="39"/>
        <v>12.879228617426236</v>
      </c>
      <c r="P73" s="8">
        <f t="shared" si="38"/>
        <v>1877.8025512055945</v>
      </c>
      <c r="Q73" s="8">
        <v>304.14736677071454</v>
      </c>
      <c r="R73" s="8">
        <f t="shared" si="40"/>
        <v>2181.9499179763088</v>
      </c>
      <c r="W73" s="9">
        <f t="shared" si="41"/>
        <v>4.4515077041287911E-2</v>
      </c>
      <c r="X73" s="9">
        <f t="shared" si="42"/>
        <v>5.04177004293496E-2</v>
      </c>
      <c r="Y73" s="9">
        <f t="shared" si="43"/>
        <v>5.9026233880616853E-3</v>
      </c>
      <c r="Z73" s="9">
        <f t="shared" si="44"/>
        <v>5.04177004293496E-2</v>
      </c>
    </row>
    <row r="74" spans="1:26">
      <c r="A74" s="8">
        <v>1844</v>
      </c>
      <c r="B74" s="8">
        <v>108.80725503893255</v>
      </c>
      <c r="C74" s="9">
        <f t="shared" si="45"/>
        <v>-1.092313718939586E-2</v>
      </c>
      <c r="D74" s="9">
        <f t="shared" si="46"/>
        <v>-1.0823730762078654E-2</v>
      </c>
      <c r="E74" s="8">
        <v>108.80725503893255</v>
      </c>
      <c r="N74" s="8">
        <f t="shared" si="39"/>
        <v>12.975913924353222</v>
      </c>
      <c r="P74" s="8">
        <f t="shared" si="38"/>
        <v>1877.8025512055945</v>
      </c>
      <c r="Q74" s="8">
        <v>291.26813815328831</v>
      </c>
      <c r="R74" s="8">
        <f t="shared" si="40"/>
        <v>2169.0706893588826</v>
      </c>
      <c r="W74" s="9">
        <f t="shared" si="41"/>
        <v>4.4180828953483499E-2</v>
      </c>
      <c r="X74" s="9">
        <f t="shared" si="42"/>
        <v>5.0163074708779072E-2</v>
      </c>
      <c r="Y74" s="9">
        <f t="shared" si="43"/>
        <v>5.982245755295575E-3</v>
      </c>
      <c r="Z74" s="9">
        <f t="shared" si="44"/>
        <v>5.0163074708779072E-2</v>
      </c>
    </row>
    <row r="75" spans="1:26">
      <c r="A75" s="8">
        <v>1845</v>
      </c>
      <c r="B75" s="8">
        <v>107.59659194542712</v>
      </c>
      <c r="C75" s="9">
        <f t="shared" si="45"/>
        <v>-1.1126676185997386E-2</v>
      </c>
      <c r="D75" s="9">
        <f t="shared" si="46"/>
        <v>-1.1024911923941061E-2</v>
      </c>
      <c r="E75" s="8">
        <v>107.59659194542712</v>
      </c>
      <c r="N75" s="8">
        <f t="shared" si="39"/>
        <v>13.287936467010354</v>
      </c>
      <c r="P75" s="8">
        <f t="shared" si="38"/>
        <v>1877.8025512055945</v>
      </c>
      <c r="Q75" s="8">
        <v>278.29222422893508</v>
      </c>
      <c r="R75" s="8">
        <f t="shared" si="40"/>
        <v>2156.0947754345298</v>
      </c>
      <c r="W75" s="9">
        <f t="shared" si="41"/>
        <v>4.3740496268031732E-2</v>
      </c>
      <c r="X75" s="9">
        <f t="shared" si="42"/>
        <v>4.9903461188872171E-2</v>
      </c>
      <c r="Y75" s="9">
        <f t="shared" si="43"/>
        <v>6.1629649208404403E-3</v>
      </c>
      <c r="Z75" s="9">
        <f t="shared" si="44"/>
        <v>4.9903461188872171E-2</v>
      </c>
    </row>
    <row r="76" spans="1:26">
      <c r="A76" s="8">
        <v>1846</v>
      </c>
      <c r="B76" s="8">
        <v>106.35681690042918</v>
      </c>
      <c r="C76" s="9">
        <f t="shared" si="45"/>
        <v>-1.1522437863336399E-2</v>
      </c>
      <c r="D76" s="9">
        <f t="shared" si="46"/>
        <v>-1.1324576827336674E-2</v>
      </c>
      <c r="E76" s="8">
        <v>106.35681690042918</v>
      </c>
      <c r="N76" s="8">
        <f t="shared" si="39"/>
        <v>13.116002754123173</v>
      </c>
      <c r="P76" s="8">
        <f t="shared" si="38"/>
        <v>1877.8025512055945</v>
      </c>
      <c r="Q76" s="8">
        <v>265.00428776192473</v>
      </c>
      <c r="R76" s="8">
        <f t="shared" si="40"/>
        <v>2142.8068389675191</v>
      </c>
      <c r="W76" s="9">
        <f t="shared" si="41"/>
        <v>4.3513401418502455E-2</v>
      </c>
      <c r="X76" s="9">
        <f t="shared" si="42"/>
        <v>4.9634346393852141E-2</v>
      </c>
      <c r="Y76" s="9">
        <f t="shared" si="43"/>
        <v>6.1209449753496827E-3</v>
      </c>
      <c r="Z76" s="9">
        <f t="shared" si="44"/>
        <v>4.9634346393852141E-2</v>
      </c>
    </row>
    <row r="77" spans="1:26">
      <c r="A77" s="8">
        <v>1847</v>
      </c>
      <c r="B77" s="8">
        <v>105.1330834076437</v>
      </c>
      <c r="C77" s="9">
        <f t="shared" si="45"/>
        <v>-1.1505924382177901E-2</v>
      </c>
      <c r="D77" s="9">
        <f t="shared" si="46"/>
        <v>-1.1514181157241121E-2</v>
      </c>
      <c r="E77" s="8">
        <v>105.1330834076437</v>
      </c>
      <c r="N77" s="8">
        <f t="shared" si="39"/>
        <v>13.166190997049227</v>
      </c>
      <c r="P77" s="8">
        <f t="shared" si="38"/>
        <v>1877.8025512055945</v>
      </c>
      <c r="Q77" s="8">
        <v>251.88828500780156</v>
      </c>
      <c r="R77" s="8">
        <f t="shared" si="40"/>
        <v>2129.6908362133959</v>
      </c>
      <c r="W77" s="9">
        <f t="shared" si="41"/>
        <v>4.3183212721200508E-2</v>
      </c>
      <c r="X77" s="9">
        <f t="shared" si="42"/>
        <v>4.9365420379312429E-2</v>
      </c>
      <c r="Y77" s="9">
        <f t="shared" si="43"/>
        <v>6.1822076581119169E-3</v>
      </c>
      <c r="Z77" s="9">
        <f t="shared" si="44"/>
        <v>4.9365420379312429E-2</v>
      </c>
    </row>
    <row r="78" spans="1:26">
      <c r="A78" s="8">
        <v>1848</v>
      </c>
      <c r="B78" s="8">
        <v>103.90466731186063</v>
      </c>
      <c r="C78" s="9">
        <f t="shared" si="45"/>
        <v>-1.1684391401515226E-2</v>
      </c>
      <c r="D78" s="9">
        <f t="shared" si="46"/>
        <v>-1.1595161919861763E-2</v>
      </c>
      <c r="E78" s="8">
        <v>103.90466731186063</v>
      </c>
      <c r="N78" s="8">
        <f t="shared" si="39"/>
        <v>13.215164919866226</v>
      </c>
      <c r="P78" s="8">
        <f t="shared" si="38"/>
        <v>1877.8025512055945</v>
      </c>
      <c r="Q78" s="8">
        <v>238.72209401075233</v>
      </c>
      <c r="R78" s="8">
        <f t="shared" si="40"/>
        <v>2116.5246452163469</v>
      </c>
      <c r="W78" s="9">
        <f t="shared" si="41"/>
        <v>4.2848309183153549E-2</v>
      </c>
      <c r="X78" s="9">
        <f t="shared" si="42"/>
        <v>4.9092113123605848E-2</v>
      </c>
      <c r="Y78" s="9">
        <f t="shared" si="43"/>
        <v>6.2438039404522968E-3</v>
      </c>
      <c r="Z78" s="9">
        <f t="shared" si="44"/>
        <v>4.9092113123605848E-2</v>
      </c>
    </row>
    <row r="79" spans="1:26">
      <c r="A79" s="8">
        <v>1849</v>
      </c>
      <c r="B79" s="8">
        <v>102.67168191011235</v>
      </c>
      <c r="C79" s="9">
        <f t="shared" si="45"/>
        <v>-1.1866506420232126E-2</v>
      </c>
      <c r="D79" s="9">
        <f t="shared" si="46"/>
        <v>-1.177545310600836E-2</v>
      </c>
      <c r="E79" s="8">
        <v>102.67168191011235</v>
      </c>
      <c r="N79" s="8">
        <f t="shared" si="39"/>
        <v>13.23604088463199</v>
      </c>
      <c r="P79" s="8">
        <f t="shared" si="38"/>
        <v>1877.8025512055945</v>
      </c>
      <c r="Q79" s="8">
        <v>225.5069290908861</v>
      </c>
      <c r="R79" s="8">
        <f t="shared" si="40"/>
        <v>2103.3094802964806</v>
      </c>
      <c r="W79" s="9">
        <f t="shared" si="41"/>
        <v>4.2521389202730922E-2</v>
      </c>
      <c r="X79" s="9">
        <f t="shared" si="42"/>
        <v>4.881434846936545E-2</v>
      </c>
      <c r="Y79" s="9">
        <f t="shared" si="43"/>
        <v>6.2929592666345277E-3</v>
      </c>
      <c r="Z79" s="9">
        <f t="shared" si="44"/>
        <v>4.881434846936545E-2</v>
      </c>
    </row>
    <row r="80" spans="1:26">
      <c r="A80" s="8">
        <v>1850</v>
      </c>
      <c r="B80" s="8">
        <v>101.43674876424134</v>
      </c>
      <c r="C80" s="9">
        <f t="shared" si="45"/>
        <v>-1.2027982038437579E-2</v>
      </c>
      <c r="D80" s="9">
        <f t="shared" si="46"/>
        <v>-1.1947247528042326E-2</v>
      </c>
      <c r="E80" s="8">
        <v>101.43674876424134</v>
      </c>
      <c r="N80" s="8">
        <f t="shared" si="39"/>
        <v>13.201756265249372</v>
      </c>
      <c r="P80" s="8">
        <f t="shared" si="38"/>
        <v>1877.8025512055945</v>
      </c>
      <c r="Q80" s="8">
        <v>212.27088820625411</v>
      </c>
      <c r="R80" s="8">
        <f t="shared" si="40"/>
        <v>2090.0734394118485</v>
      </c>
      <c r="W80" s="9">
        <f t="shared" si="41"/>
        <v>4.2216216346838753E-2</v>
      </c>
      <c r="X80" s="9">
        <f t="shared" si="42"/>
        <v>4.8532624189887741E-2</v>
      </c>
      <c r="Y80" s="9">
        <f t="shared" si="43"/>
        <v>6.316407843048987E-3</v>
      </c>
      <c r="Z80" s="9">
        <f t="shared" si="44"/>
        <v>4.8532624189887741E-2</v>
      </c>
    </row>
    <row r="81" spans="1:26">
      <c r="A81" s="8">
        <v>1851</v>
      </c>
      <c r="B81" s="8">
        <v>100.20501440063749</v>
      </c>
      <c r="C81" s="9">
        <f t="shared" si="45"/>
        <v>-1.2142880944130408E-2</v>
      </c>
      <c r="D81" s="9">
        <f t="shared" si="46"/>
        <v>-1.2085433161691417E-2</v>
      </c>
      <c r="E81" s="8">
        <v>100.20501440063748</v>
      </c>
      <c r="N81" s="8">
        <f t="shared" si="39"/>
        <v>13.153756680888989</v>
      </c>
      <c r="P81" s="8">
        <f t="shared" si="38"/>
        <v>1877.8025512055945</v>
      </c>
      <c r="Q81" s="8">
        <v>199.06913194100474</v>
      </c>
      <c r="R81" s="8">
        <f t="shared" si="40"/>
        <v>2076.871683146599</v>
      </c>
      <c r="W81" s="9">
        <f t="shared" si="41"/>
        <v>4.1914605715005E-2</v>
      </c>
      <c r="X81" s="9">
        <f t="shared" si="42"/>
        <v>4.8248052690872172E-2</v>
      </c>
      <c r="Y81" s="9">
        <f t="shared" si="43"/>
        <v>6.3334469758671713E-3</v>
      </c>
      <c r="Z81" s="9">
        <f t="shared" si="44"/>
        <v>4.8248052690872179E-2</v>
      </c>
    </row>
    <row r="82" spans="1:26">
      <c r="A82" s="8">
        <v>1852</v>
      </c>
      <c r="B82" s="8">
        <v>98.977758436445612</v>
      </c>
      <c r="C82" s="9">
        <f t="shared" si="45"/>
        <v>-1.2247450604468746E-2</v>
      </c>
      <c r="D82" s="9">
        <f t="shared" si="46"/>
        <v>-1.2195167158026043E-2</v>
      </c>
      <c r="E82" s="8">
        <v>98.977758436445612</v>
      </c>
      <c r="N82" s="8">
        <f t="shared" si="39"/>
        <v>13.057969627156012</v>
      </c>
      <c r="P82" s="8">
        <f t="shared" si="38"/>
        <v>1877.8025512055945</v>
      </c>
      <c r="Q82" s="8">
        <v>185.91537526011575</v>
      </c>
      <c r="R82" s="8">
        <f t="shared" si="40"/>
        <v>2063.7179264657102</v>
      </c>
      <c r="W82" s="9">
        <f t="shared" si="41"/>
        <v>4.1633494436148277E-2</v>
      </c>
      <c r="X82" s="9">
        <f t="shared" si="42"/>
        <v>4.7960894833119619E-2</v>
      </c>
      <c r="Y82" s="9">
        <f t="shared" si="43"/>
        <v>6.3274003969713433E-3</v>
      </c>
      <c r="Z82" s="9">
        <f t="shared" si="44"/>
        <v>4.7960894833119619E-2</v>
      </c>
    </row>
    <row r="83" spans="1:26">
      <c r="A83" s="8">
        <v>1853</v>
      </c>
      <c r="B83" s="8">
        <v>97.759439480580568</v>
      </c>
      <c r="C83" s="9">
        <f t="shared" si="45"/>
        <v>-1.2309017451100801E-2</v>
      </c>
      <c r="D83" s="9">
        <f t="shared" si="46"/>
        <v>-1.227823450748422E-2</v>
      </c>
      <c r="E83" s="8">
        <v>97.759439480580568</v>
      </c>
      <c r="N83" s="8">
        <f t="shared" si="39"/>
        <v>12.918262637472736</v>
      </c>
      <c r="P83" s="8">
        <f t="shared" ref="P83:P116" si="47">P82+O82</f>
        <v>1877.8025512055945</v>
      </c>
      <c r="Q83" s="8">
        <v>172.85740563295974</v>
      </c>
      <c r="R83" s="8">
        <f t="shared" si="40"/>
        <v>2050.6599568385541</v>
      </c>
      <c r="W83" s="9">
        <f t="shared" si="41"/>
        <v>4.1372620828811199E-2</v>
      </c>
      <c r="X83" s="9">
        <f t="shared" si="42"/>
        <v>4.7672184339764258E-2</v>
      </c>
      <c r="Y83" s="9">
        <f t="shared" si="43"/>
        <v>6.2995635109530622E-3</v>
      </c>
      <c r="Z83" s="9">
        <f t="shared" si="44"/>
        <v>4.7672184339764258E-2</v>
      </c>
    </row>
    <row r="84" spans="1:26">
      <c r="A84" s="8">
        <v>1854</v>
      </c>
      <c r="B84" s="8">
        <v>96.554155298011679</v>
      </c>
      <c r="C84" s="9">
        <f t="shared" si="45"/>
        <v>-1.2329082377853795E-2</v>
      </c>
      <c r="D84" s="9">
        <f t="shared" si="46"/>
        <v>-1.2319049965430096E-2</v>
      </c>
      <c r="E84" s="8">
        <v>96.554155298011679</v>
      </c>
      <c r="N84" s="8">
        <f t="shared" ref="N84:N116" si="48">Q84-Q85</f>
        <v>12.742244945086071</v>
      </c>
      <c r="P84" s="8">
        <f t="shared" si="47"/>
        <v>1877.8025512055945</v>
      </c>
      <c r="Q84" s="8">
        <v>159.939142995487</v>
      </c>
      <c r="R84" s="8">
        <f t="shared" si="40"/>
        <v>2037.7416942010814</v>
      </c>
      <c r="W84" s="9">
        <f t="shared" si="41"/>
        <v>4.1129800990691794E-2</v>
      </c>
      <c r="X84" s="9">
        <f t="shared" si="42"/>
        <v>4.7382921776975652E-2</v>
      </c>
      <c r="Y84" s="9">
        <f t="shared" si="43"/>
        <v>6.2531207862838601E-3</v>
      </c>
      <c r="Z84" s="9">
        <f t="shared" si="44"/>
        <v>4.7382921776975652E-2</v>
      </c>
    </row>
    <row r="85" spans="1:26">
      <c r="A85" s="8">
        <v>1855</v>
      </c>
      <c r="B85" s="8">
        <v>95.365293706191977</v>
      </c>
      <c r="C85" s="9">
        <f t="shared" si="45"/>
        <v>-1.2312899306615166E-2</v>
      </c>
      <c r="D85" s="9">
        <f t="shared" si="46"/>
        <v>-1.2320990875379301E-2</v>
      </c>
      <c r="E85" s="8">
        <v>95.365293706191977</v>
      </c>
      <c r="N85" s="8">
        <f t="shared" si="48"/>
        <v>12.486680024375005</v>
      </c>
      <c r="P85" s="8">
        <f t="shared" si="47"/>
        <v>1877.8025512055945</v>
      </c>
      <c r="Q85" s="8">
        <v>147.19689805040093</v>
      </c>
      <c r="R85" s="8">
        <f t="shared" si="40"/>
        <v>2024.9994492559954</v>
      </c>
      <c r="W85" s="9">
        <f t="shared" si="41"/>
        <v>4.0927721591365068E-2</v>
      </c>
      <c r="X85" s="9">
        <f t="shared" si="42"/>
        <v>4.7093985008850307E-2</v>
      </c>
      <c r="Y85" s="9">
        <f t="shared" si="43"/>
        <v>6.1662634174852408E-3</v>
      </c>
      <c r="Z85" s="9">
        <f t="shared" si="44"/>
        <v>4.7093985008850307E-2</v>
      </c>
    </row>
    <row r="86" spans="1:26">
      <c r="A86" s="8">
        <v>1856</v>
      </c>
      <c r="B86" s="8">
        <v>94.200276524816388</v>
      </c>
      <c r="C86" s="9">
        <f t="shared" si="45"/>
        <v>-1.2216364424618154E-2</v>
      </c>
      <c r="D86" s="9">
        <f t="shared" si="46"/>
        <v>-1.2264633044953732E-2</v>
      </c>
      <c r="E86" s="8">
        <v>94.200276524816388</v>
      </c>
      <c r="N86" s="8">
        <f t="shared" si="48"/>
        <v>12.190254254488011</v>
      </c>
      <c r="P86" s="8">
        <f t="shared" si="47"/>
        <v>1877.8025512055945</v>
      </c>
      <c r="Q86" s="8">
        <v>134.71021802602593</v>
      </c>
      <c r="R86" s="8">
        <f t="shared" si="40"/>
        <v>2012.5127692316205</v>
      </c>
      <c r="W86" s="9">
        <f t="shared" si="41"/>
        <v>4.0750063067495415E-2</v>
      </c>
      <c r="X86" s="9">
        <f t="shared" si="42"/>
        <v>4.6807293829386309E-2</v>
      </c>
      <c r="Y86" s="9">
        <f t="shared" si="43"/>
        <v>6.0572307618908987E-3</v>
      </c>
      <c r="Z86" s="9">
        <f t="shared" si="44"/>
        <v>4.6807293829386309E-2</v>
      </c>
    </row>
    <row r="87" spans="1:26">
      <c r="A87" s="8">
        <v>1857</v>
      </c>
      <c r="B87" s="8">
        <v>93.062916103624175</v>
      </c>
      <c r="C87" s="9">
        <f t="shared" si="45"/>
        <v>-1.2073854378682025E-2</v>
      </c>
      <c r="D87" s="9">
        <f t="shared" si="46"/>
        <v>-1.2145111971500366E-2</v>
      </c>
      <c r="E87" s="8">
        <v>93.062916103624175</v>
      </c>
      <c r="N87" s="8">
        <f t="shared" si="48"/>
        <v>11.829295976783456</v>
      </c>
      <c r="P87" s="8">
        <f t="shared" si="47"/>
        <v>1877.8025512055945</v>
      </c>
      <c r="Q87" s="8">
        <v>122.51996377153792</v>
      </c>
      <c r="R87" s="8">
        <f t="shared" si="40"/>
        <v>2000.3225149771324</v>
      </c>
      <c r="W87" s="9">
        <f t="shared" si="41"/>
        <v>4.0610261354664293E-2</v>
      </c>
      <c r="X87" s="9">
        <f t="shared" si="42"/>
        <v>4.6523955715555232E-2</v>
      </c>
      <c r="Y87" s="9">
        <f t="shared" si="43"/>
        <v>5.9136943608909427E-3</v>
      </c>
      <c r="Z87" s="9">
        <f t="shared" si="44"/>
        <v>4.6523955715555232E-2</v>
      </c>
    </row>
    <row r="88" spans="1:26">
      <c r="A88" s="8">
        <v>1858</v>
      </c>
      <c r="B88" s="8">
        <v>91.959233376940404</v>
      </c>
      <c r="C88" s="9">
        <f t="shared" si="45"/>
        <v>-1.1859533022314017E-2</v>
      </c>
      <c r="D88" s="9">
        <f t="shared" si="46"/>
        <v>-1.1966699511744894E-2</v>
      </c>
      <c r="E88" s="8">
        <v>91.959233376940404</v>
      </c>
      <c r="N88" s="8">
        <f t="shared" si="48"/>
        <v>11.397955746197169</v>
      </c>
      <c r="P88" s="8">
        <f t="shared" si="47"/>
        <v>1877.8025512055945</v>
      </c>
      <c r="Q88" s="8">
        <v>110.69066779475446</v>
      </c>
      <c r="R88" s="8">
        <f t="shared" si="40"/>
        <v>1988.493219000349</v>
      </c>
      <c r="W88" s="9">
        <f t="shared" si="41"/>
        <v>4.0513730125387518E-2</v>
      </c>
      <c r="X88" s="9">
        <f t="shared" si="42"/>
        <v>4.6245686179996102E-2</v>
      </c>
      <c r="Y88" s="9">
        <f t="shared" si="43"/>
        <v>5.7319560546085875E-3</v>
      </c>
      <c r="Z88" s="9">
        <f t="shared" si="44"/>
        <v>4.6245686179996102E-2</v>
      </c>
    </row>
    <row r="89" spans="1:26">
      <c r="A89" s="8">
        <v>1859</v>
      </c>
      <c r="B89" s="8">
        <v>90.895795036968764</v>
      </c>
      <c r="C89" s="9">
        <f t="shared" si="45"/>
        <v>-1.1564236683146434E-2</v>
      </c>
      <c r="D89" s="9">
        <f t="shared" si="46"/>
        <v>-1.1711895881893586E-2</v>
      </c>
      <c r="E89" s="8">
        <v>90.895795036968764</v>
      </c>
      <c r="N89" s="8">
        <f t="shared" si="48"/>
        <v>10.924140425369927</v>
      </c>
      <c r="P89" s="8">
        <f t="shared" si="47"/>
        <v>1877.8025512055945</v>
      </c>
      <c r="Q89" s="8">
        <v>99.292712048557291</v>
      </c>
      <c r="R89" s="8">
        <f t="shared" si="40"/>
        <v>1977.0952632541516</v>
      </c>
      <c r="W89" s="9">
        <f t="shared" si="41"/>
        <v>4.0449064897344122E-2</v>
      </c>
      <c r="X89" s="9">
        <f t="shared" si="42"/>
        <v>4.5974413436892791E-2</v>
      </c>
      <c r="Y89" s="9">
        <f t="shared" si="43"/>
        <v>5.5253485395486733E-3</v>
      </c>
      <c r="Z89" s="9">
        <f t="shared" si="44"/>
        <v>4.5974413436892791E-2</v>
      </c>
    </row>
    <row r="90" spans="1:26">
      <c r="A90" s="8">
        <v>1860</v>
      </c>
      <c r="B90" s="8">
        <v>89.876564043424281</v>
      </c>
      <c r="C90" s="9">
        <f t="shared" si="45"/>
        <v>-1.1213180908203113E-2</v>
      </c>
      <c r="D90" s="9">
        <f t="shared" si="46"/>
        <v>-1.1388724378158965E-2</v>
      </c>
      <c r="E90" s="8">
        <v>89.876564043424281</v>
      </c>
      <c r="N90" s="8">
        <f t="shared" si="48"/>
        <v>10.381369498324219</v>
      </c>
      <c r="P90" s="8">
        <f t="shared" si="47"/>
        <v>1877.8025512055945</v>
      </c>
      <c r="Q90" s="8">
        <v>88.368571623187364</v>
      </c>
      <c r="R90" s="8">
        <f t="shared" si="40"/>
        <v>1966.1711228287818</v>
      </c>
      <c r="W90" s="9">
        <f t="shared" si="41"/>
        <v>4.0431472938493904E-2</v>
      </c>
      <c r="X90" s="9">
        <f t="shared" si="42"/>
        <v>4.5711465802689907E-2</v>
      </c>
      <c r="Y90" s="9">
        <f t="shared" si="43"/>
        <v>5.2799928641960071E-3</v>
      </c>
      <c r="Z90" s="9">
        <f t="shared" si="44"/>
        <v>4.5711465802689907E-2</v>
      </c>
    </row>
    <row r="91" spans="1:26">
      <c r="A91" s="8">
        <v>1861</v>
      </c>
      <c r="B91" s="8">
        <v>88.907974009232092</v>
      </c>
      <c r="C91" s="9">
        <f t="shared" si="45"/>
        <v>-1.0776892113100955E-2</v>
      </c>
      <c r="D91" s="9">
        <f t="shared" si="46"/>
        <v>-1.0995060568660064E-2</v>
      </c>
      <c r="E91" s="8">
        <v>88.907974009232092</v>
      </c>
      <c r="N91" s="8">
        <f t="shared" si="48"/>
        <v>9.7817892900302752</v>
      </c>
      <c r="P91" s="8">
        <f t="shared" si="47"/>
        <v>1877.8025512055945</v>
      </c>
      <c r="Q91" s="8">
        <v>77.987202124863146</v>
      </c>
      <c r="R91" s="8">
        <f t="shared" si="40"/>
        <v>1955.7897533304576</v>
      </c>
      <c r="W91" s="9">
        <f t="shared" si="41"/>
        <v>4.0457408361231122E-2</v>
      </c>
      <c r="X91" s="9">
        <f t="shared" si="42"/>
        <v>4.5458860727659138E-2</v>
      </c>
      <c r="Y91" s="9">
        <f t="shared" si="43"/>
        <v>5.001452366428012E-3</v>
      </c>
      <c r="Z91" s="9">
        <f t="shared" si="44"/>
        <v>4.5458860727659138E-2</v>
      </c>
    </row>
    <row r="92" spans="1:26">
      <c r="A92" s="8">
        <v>1862</v>
      </c>
      <c r="B92" s="8">
        <v>87.995325285533298</v>
      </c>
      <c r="C92" s="9">
        <f t="shared" si="45"/>
        <v>-1.026509414784349E-2</v>
      </c>
      <c r="D92" s="9">
        <f t="shared" si="46"/>
        <v>-1.0521026220760121E-2</v>
      </c>
      <c r="E92" s="8">
        <v>87.995325285533298</v>
      </c>
      <c r="N92" s="8">
        <f t="shared" si="48"/>
        <v>9.1419155347815249</v>
      </c>
      <c r="P92" s="8">
        <f t="shared" si="47"/>
        <v>1877.8025512055945</v>
      </c>
      <c r="Q92" s="8">
        <v>68.20541283483287</v>
      </c>
      <c r="R92" s="8">
        <f t="shared" si="40"/>
        <v>1946.0079640404274</v>
      </c>
      <c r="W92" s="9">
        <f t="shared" si="41"/>
        <v>4.0520599713801397E-2</v>
      </c>
      <c r="X92" s="9">
        <f t="shared" si="42"/>
        <v>4.5218378810142033E-2</v>
      </c>
      <c r="Y92" s="9">
        <f t="shared" si="43"/>
        <v>4.6977790963406386E-3</v>
      </c>
      <c r="Z92" s="9">
        <f t="shared" si="44"/>
        <v>4.5218378810142033E-2</v>
      </c>
    </row>
    <row r="93" spans="1:26">
      <c r="A93" s="8">
        <v>1863</v>
      </c>
      <c r="B93" s="8">
        <v>87.142377292318585</v>
      </c>
      <c r="C93" s="9">
        <f t="shared" si="45"/>
        <v>-9.6931057467769532E-3</v>
      </c>
      <c r="D93" s="9">
        <f t="shared" si="46"/>
        <v>-9.979141255874735E-3</v>
      </c>
      <c r="E93" s="8">
        <v>87.142377292318571</v>
      </c>
      <c r="N93" s="8">
        <f t="shared" si="48"/>
        <v>8.4272336977313742</v>
      </c>
      <c r="P93" s="8">
        <f t="shared" si="47"/>
        <v>1877.8025512055945</v>
      </c>
      <c r="Q93" s="8">
        <v>59.063497300051345</v>
      </c>
      <c r="R93" s="8">
        <f t="shared" si="40"/>
        <v>1936.8660485056457</v>
      </c>
      <c r="W93" s="9">
        <f t="shared" si="41"/>
        <v>4.064046848016075E-2</v>
      </c>
      <c r="X93" s="9">
        <f t="shared" si="42"/>
        <v>4.4991432091832942E-2</v>
      </c>
      <c r="Y93" s="9">
        <f t="shared" si="43"/>
        <v>4.3509636116721932E-3</v>
      </c>
      <c r="Z93" s="9">
        <f t="shared" si="44"/>
        <v>4.4991432091832949E-2</v>
      </c>
    </row>
    <row r="94" spans="1:26">
      <c r="A94" s="8">
        <v>1864</v>
      </c>
      <c r="B94" s="8">
        <v>86.356109683141511</v>
      </c>
      <c r="C94" s="9">
        <f t="shared" si="45"/>
        <v>-9.0227927399724184E-3</v>
      </c>
      <c r="D94" s="9">
        <f t="shared" si="46"/>
        <v>-9.358005938870817E-3</v>
      </c>
      <c r="E94" s="8">
        <v>86.356109683141497</v>
      </c>
      <c r="N94" s="8">
        <f t="shared" si="48"/>
        <v>7.7177456296242539</v>
      </c>
      <c r="P94" s="8">
        <f t="shared" si="47"/>
        <v>1877.8025512055945</v>
      </c>
      <c r="Q94" s="8">
        <v>50.636263602319971</v>
      </c>
      <c r="R94" s="8">
        <f t="shared" si="40"/>
        <v>1928.4388148079145</v>
      </c>
      <c r="W94" s="9">
        <f t="shared" si="41"/>
        <v>4.0778252050143557E-2</v>
      </c>
      <c r="X94" s="9">
        <f t="shared" si="42"/>
        <v>4.4780321273373225E-2</v>
      </c>
      <c r="Y94" s="9">
        <f t="shared" si="43"/>
        <v>4.0020692232296687E-3</v>
      </c>
      <c r="Z94" s="9">
        <f t="shared" si="44"/>
        <v>4.4780321273373232E-2</v>
      </c>
    </row>
    <row r="95" spans="1:26">
      <c r="A95" s="8">
        <v>1865</v>
      </c>
      <c r="B95" s="8">
        <v>85.636037875227231</v>
      </c>
      <c r="C95" s="9">
        <f t="shared" si="45"/>
        <v>-8.3384002655558787E-3</v>
      </c>
      <c r="D95" s="9">
        <f t="shared" si="46"/>
        <v>-8.6806555645901895E-3</v>
      </c>
      <c r="E95" s="8">
        <v>85.636037875227231</v>
      </c>
      <c r="N95" s="8">
        <f t="shared" si="48"/>
        <v>6.9690470229968682</v>
      </c>
      <c r="P95" s="8">
        <f t="shared" si="47"/>
        <v>1877.8025512055945</v>
      </c>
      <c r="Q95" s="8">
        <v>42.918517972695717</v>
      </c>
      <c r="R95" s="8">
        <f t="shared" si="40"/>
        <v>1920.7210691782902</v>
      </c>
      <c r="W95" s="9">
        <f t="shared" si="41"/>
        <v>4.0957009382879904E-2</v>
      </c>
      <c r="X95" s="9">
        <f t="shared" si="42"/>
        <v>4.4585358722525732E-2</v>
      </c>
      <c r="Y95" s="9">
        <f t="shared" si="43"/>
        <v>3.6283493396458226E-3</v>
      </c>
      <c r="Z95" s="9">
        <f t="shared" si="44"/>
        <v>4.4585358722525732E-2</v>
      </c>
    </row>
    <row r="96" spans="1:26">
      <c r="A96" s="8">
        <v>1866</v>
      </c>
      <c r="B96" s="8">
        <v>84.985820243017812</v>
      </c>
      <c r="C96" s="9">
        <f t="shared" si="45"/>
        <v>-7.5928037814733118E-3</v>
      </c>
      <c r="D96" s="9">
        <f t="shared" si="46"/>
        <v>-7.9656720707500517E-3</v>
      </c>
      <c r="E96" s="8">
        <v>84.985820243017812</v>
      </c>
      <c r="N96" s="8">
        <f t="shared" si="48"/>
        <v>6.2187864733008134</v>
      </c>
      <c r="P96" s="8">
        <f t="shared" si="47"/>
        <v>1877.8025512055945</v>
      </c>
      <c r="Q96" s="8">
        <v>35.949470949698849</v>
      </c>
      <c r="R96" s="8">
        <f t="shared" si="40"/>
        <v>1913.7520221552934</v>
      </c>
      <c r="W96" s="9">
        <f t="shared" si="41"/>
        <v>4.1158432679803784E-2</v>
      </c>
      <c r="X96" s="9">
        <f t="shared" si="42"/>
        <v>4.4407958428859362E-2</v>
      </c>
      <c r="Y96" s="9">
        <f t="shared" si="43"/>
        <v>3.2495257490555815E-3</v>
      </c>
      <c r="Z96" s="9">
        <f t="shared" si="44"/>
        <v>4.4407958428859362E-2</v>
      </c>
    </row>
    <row r="97" spans="1:26">
      <c r="A97" s="8">
        <v>1867</v>
      </c>
      <c r="B97" s="8">
        <v>84.405602517044315</v>
      </c>
      <c r="C97" s="9">
        <f t="shared" si="45"/>
        <v>-6.8272298168606804E-3</v>
      </c>
      <c r="D97" s="9">
        <f t="shared" si="46"/>
        <v>-7.2100905941698823E-3</v>
      </c>
      <c r="E97" s="8">
        <v>84.405602517044315</v>
      </c>
      <c r="N97" s="8">
        <f t="shared" si="48"/>
        <v>5.4933640536060224</v>
      </c>
      <c r="P97" s="8">
        <f t="shared" si="47"/>
        <v>1877.8025512055945</v>
      </c>
      <c r="Q97" s="8">
        <v>29.730684476398036</v>
      </c>
      <c r="R97" s="8">
        <f t="shared" si="40"/>
        <v>1907.5332356819924</v>
      </c>
      <c r="W97" s="9">
        <f t="shared" si="41"/>
        <v>4.1368735803559993E-2</v>
      </c>
      <c r="X97" s="9">
        <f t="shared" si="42"/>
        <v>4.4248561932325722E-2</v>
      </c>
      <c r="Y97" s="9">
        <f t="shared" si="43"/>
        <v>2.8798261287657214E-3</v>
      </c>
      <c r="Z97" s="9">
        <f t="shared" si="44"/>
        <v>4.4248561932325722E-2</v>
      </c>
    </row>
    <row r="98" spans="1:26">
      <c r="A98" s="8">
        <v>1868</v>
      </c>
      <c r="B98" s="8">
        <v>83.893067280015003</v>
      </c>
      <c r="C98" s="9">
        <f t="shared" si="45"/>
        <v>-6.0722893000593192E-3</v>
      </c>
      <c r="D98" s="9">
        <f t="shared" si="46"/>
        <v>-6.4498312628366028E-3</v>
      </c>
      <c r="E98" s="8">
        <v>83.893067280015003</v>
      </c>
      <c r="N98" s="8">
        <f t="shared" si="48"/>
        <v>4.7616409853475332</v>
      </c>
      <c r="P98" s="8">
        <f t="shared" si="47"/>
        <v>1877.8025512055945</v>
      </c>
      <c r="Q98" s="8">
        <v>24.237320422792013</v>
      </c>
      <c r="R98" s="8">
        <f t="shared" si="40"/>
        <v>1902.0398716283864</v>
      </c>
      <c r="W98" s="9">
        <f t="shared" si="41"/>
        <v>4.160345294282447E-2</v>
      </c>
      <c r="X98" s="9">
        <f t="shared" si="42"/>
        <v>4.410689204332606E-2</v>
      </c>
      <c r="Y98" s="9">
        <f t="shared" si="43"/>
        <v>2.5034391005015928E-3</v>
      </c>
      <c r="Z98" s="9">
        <f t="shared" si="44"/>
        <v>4.410689204332606E-2</v>
      </c>
    </row>
    <row r="99" spans="1:26">
      <c r="A99" s="8">
        <v>1869</v>
      </c>
      <c r="B99" s="8">
        <v>83.448802387454037</v>
      </c>
      <c r="C99" s="9">
        <f t="shared" si="45"/>
        <v>-5.2956091243883119E-3</v>
      </c>
      <c r="D99" s="9">
        <f t="shared" si="46"/>
        <v>-5.6840250472811604E-3</v>
      </c>
      <c r="E99" s="8">
        <v>83.448802387454037</v>
      </c>
      <c r="N99" s="8">
        <f t="shared" si="48"/>
        <v>4.0799068449158398</v>
      </c>
      <c r="P99" s="8">
        <f t="shared" si="47"/>
        <v>1877.8025512055945</v>
      </c>
      <c r="Q99" s="8">
        <v>19.47567943744448</v>
      </c>
      <c r="R99" s="8">
        <f t="shared" si="40"/>
        <v>1897.278230643039</v>
      </c>
      <c r="W99" s="9">
        <f t="shared" si="41"/>
        <v>4.1833029157583246E-2</v>
      </c>
      <c r="X99" s="9">
        <f t="shared" si="42"/>
        <v>4.3983429019354203E-2</v>
      </c>
      <c r="Y99" s="9">
        <f t="shared" si="43"/>
        <v>2.1503998617709583E-3</v>
      </c>
      <c r="Z99" s="9">
        <f t="shared" si="44"/>
        <v>4.3983429019354203E-2</v>
      </c>
    </row>
    <row r="100" spans="1:26">
      <c r="A100" s="8">
        <v>1870</v>
      </c>
      <c r="B100" s="8">
        <v>83.068143832621189</v>
      </c>
      <c r="C100" s="9">
        <f t="shared" si="45"/>
        <v>-4.5615819992891327E-3</v>
      </c>
      <c r="D100" s="9">
        <f t="shared" si="46"/>
        <v>-4.9286632449010437E-3</v>
      </c>
      <c r="E100" s="8">
        <v>83.068143832621189</v>
      </c>
      <c r="N100" s="8">
        <f t="shared" si="48"/>
        <v>3.4342454479649973</v>
      </c>
      <c r="P100" s="8">
        <f t="shared" si="47"/>
        <v>1877.8025512055945</v>
      </c>
      <c r="Q100" s="8">
        <v>15.39577259252864</v>
      </c>
      <c r="R100" s="8">
        <f t="shared" ref="R100:R116" si="49">Q100+P100</f>
        <v>1893.1983237981231</v>
      </c>
      <c r="W100" s="9">
        <f t="shared" ref="W100:W116" si="50">(E100-N100)/R100</f>
        <v>4.2063157030952335E-2</v>
      </c>
      <c r="X100" s="9">
        <f t="shared" ref="X100:X116" si="51">E100/R100</f>
        <v>4.387714841515937E-2</v>
      </c>
      <c r="Y100" s="9">
        <f t="shared" ref="Y100:Y116" si="52">(K100+N100)/R100</f>
        <v>1.8139913842070358E-3</v>
      </c>
      <c r="Z100" s="9">
        <f t="shared" ref="Z100:Z116" si="53">B100/R100</f>
        <v>4.387714841515937E-2</v>
      </c>
    </row>
    <row r="101" spans="1:26">
      <c r="A101" s="8">
        <v>1871</v>
      </c>
      <c r="B101" s="8">
        <v>82.747725999848186</v>
      </c>
      <c r="C101" s="9">
        <f t="shared" ref="C101:C116" si="54">B101/B100-1</f>
        <v>-3.8572889436248037E-3</v>
      </c>
      <c r="D101" s="9">
        <f t="shared" si="46"/>
        <v>-4.2094977371508469E-3</v>
      </c>
      <c r="E101" s="8">
        <v>82.747725999848186</v>
      </c>
      <c r="N101" s="8">
        <f t="shared" si="48"/>
        <v>2.8401463755404261</v>
      </c>
      <c r="P101" s="8">
        <f t="shared" si="47"/>
        <v>1877.8025512055945</v>
      </c>
      <c r="Q101" s="8">
        <v>11.961527144563643</v>
      </c>
      <c r="R101" s="8">
        <f t="shared" si="49"/>
        <v>1889.7640783501581</v>
      </c>
      <c r="W101" s="9">
        <f t="shared" si="50"/>
        <v>4.2284420864889316E-2</v>
      </c>
      <c r="X101" s="9">
        <f t="shared" si="51"/>
        <v>4.3787331417628785E-2</v>
      </c>
      <c r="Y101" s="9">
        <f t="shared" si="52"/>
        <v>1.5029105527394674E-3</v>
      </c>
      <c r="Z101" s="9">
        <f t="shared" si="53"/>
        <v>4.3787331417628785E-2</v>
      </c>
    </row>
    <row r="102" spans="1:26">
      <c r="A102" s="8">
        <v>1872</v>
      </c>
      <c r="B102" s="8">
        <v>82.482738083230871</v>
      </c>
      <c r="C102" s="9">
        <f t="shared" si="54"/>
        <v>-3.202358897666846E-3</v>
      </c>
      <c r="D102" s="9">
        <f t="shared" ref="D102:D116" si="55">(B102/B100)^0.5-1</f>
        <v>-3.5298777272457782E-3</v>
      </c>
      <c r="E102" s="8">
        <v>82.482738083230871</v>
      </c>
      <c r="N102" s="8">
        <f t="shared" si="48"/>
        <v>2.3365881972547937</v>
      </c>
      <c r="P102" s="8">
        <f t="shared" si="47"/>
        <v>1877.8025512055945</v>
      </c>
      <c r="Q102" s="8">
        <v>9.1213807690232169</v>
      </c>
      <c r="R102" s="8">
        <f t="shared" si="49"/>
        <v>1886.9239319746177</v>
      </c>
      <c r="W102" s="9">
        <f t="shared" si="50"/>
        <v>4.2474499648804162E-2</v>
      </c>
      <c r="X102" s="9">
        <f t="shared" si="51"/>
        <v>4.3712805103338102E-2</v>
      </c>
      <c r="Y102" s="9">
        <f t="shared" si="52"/>
        <v>1.2383054545339375E-3</v>
      </c>
      <c r="Z102" s="9">
        <f t="shared" si="53"/>
        <v>4.3712805103338102E-2</v>
      </c>
    </row>
    <row r="103" spans="1:26">
      <c r="A103" s="8">
        <v>1873</v>
      </c>
      <c r="B103" s="8">
        <v>82.264732545306671</v>
      </c>
      <c r="C103" s="9">
        <f t="shared" si="54"/>
        <v>-2.6430443871081621E-3</v>
      </c>
      <c r="D103" s="9">
        <f t="shared" si="55"/>
        <v>-2.9227408611031125E-3</v>
      </c>
      <c r="E103" s="8">
        <v>82.264732545306657</v>
      </c>
      <c r="N103" s="8">
        <f t="shared" si="48"/>
        <v>1.8445364468354084</v>
      </c>
      <c r="P103" s="8">
        <f t="shared" si="47"/>
        <v>1877.8025512055945</v>
      </c>
      <c r="Q103" s="8">
        <v>6.7847925717684232</v>
      </c>
      <c r="R103" s="8">
        <f t="shared" si="49"/>
        <v>1884.5873437773628</v>
      </c>
      <c r="W103" s="9">
        <f t="shared" si="50"/>
        <v>4.2672575704175882E-2</v>
      </c>
      <c r="X103" s="9">
        <f t="shared" si="51"/>
        <v>4.365132389163761E-2</v>
      </c>
      <c r="Y103" s="9">
        <f t="shared" si="52"/>
        <v>9.7874818746172907E-4</v>
      </c>
      <c r="Z103" s="9">
        <f t="shared" si="53"/>
        <v>4.3651323891637617E-2</v>
      </c>
    </row>
    <row r="104" spans="1:26">
      <c r="A104" s="8">
        <v>1874</v>
      </c>
      <c r="B104" s="8">
        <v>82.092635827200496</v>
      </c>
      <c r="C104" s="9">
        <f t="shared" si="54"/>
        <v>-2.0919865996208431E-3</v>
      </c>
      <c r="D104" s="9">
        <f t="shared" si="55"/>
        <v>-2.3675535415305093E-3</v>
      </c>
      <c r="E104" s="8">
        <v>82.092635827200496</v>
      </c>
      <c r="N104" s="8">
        <f t="shared" si="48"/>
        <v>1.466046036260249</v>
      </c>
      <c r="P104" s="8">
        <f t="shared" si="47"/>
        <v>1877.8025512055945</v>
      </c>
      <c r="Q104" s="8">
        <v>4.9402561249330148</v>
      </c>
      <c r="R104" s="8">
        <f t="shared" si="49"/>
        <v>1882.7428073305275</v>
      </c>
      <c r="W104" s="9">
        <f t="shared" si="50"/>
        <v>4.2824006272666498E-2</v>
      </c>
      <c r="X104" s="9">
        <f t="shared" si="51"/>
        <v>4.3602681952930503E-2</v>
      </c>
      <c r="Y104" s="9">
        <f t="shared" si="52"/>
        <v>7.7867568026399861E-4</v>
      </c>
      <c r="Z104" s="9">
        <f t="shared" si="53"/>
        <v>4.3602681952930503E-2</v>
      </c>
    </row>
    <row r="105" spans="1:26">
      <c r="A105" s="8">
        <v>1875</v>
      </c>
      <c r="B105" s="8">
        <v>81.955852565549151</v>
      </c>
      <c r="C105" s="9">
        <f t="shared" si="54"/>
        <v>-1.6662062348596907E-3</v>
      </c>
      <c r="D105" s="9">
        <f t="shared" si="55"/>
        <v>-1.8791191210180136E-3</v>
      </c>
      <c r="E105" s="8">
        <v>81.955852565549151</v>
      </c>
      <c r="N105" s="8">
        <f t="shared" si="48"/>
        <v>1.0841448130809028</v>
      </c>
      <c r="P105" s="8">
        <f t="shared" si="47"/>
        <v>1877.8025512055945</v>
      </c>
      <c r="Q105" s="8">
        <v>3.4742100886727658</v>
      </c>
      <c r="R105" s="8">
        <f t="shared" si="49"/>
        <v>1881.2767612942673</v>
      </c>
      <c r="W105" s="9">
        <f t="shared" si="50"/>
        <v>4.2987671679328411E-2</v>
      </c>
      <c r="X105" s="9">
        <f t="shared" si="51"/>
        <v>4.3563953083205979E-2</v>
      </c>
      <c r="Y105" s="9">
        <f t="shared" si="52"/>
        <v>5.7628140387756702E-4</v>
      </c>
      <c r="Z105" s="9">
        <f t="shared" si="53"/>
        <v>4.3563953083205979E-2</v>
      </c>
    </row>
    <row r="106" spans="1:26">
      <c r="A106" s="8">
        <v>1876</v>
      </c>
      <c r="B106" s="8">
        <v>81.85470099188241</v>
      </c>
      <c r="C106" s="9">
        <f t="shared" si="54"/>
        <v>-1.2342202600581498E-3</v>
      </c>
      <c r="D106" s="9">
        <f t="shared" si="55"/>
        <v>-1.4502366078219531E-3</v>
      </c>
      <c r="E106" s="8">
        <v>81.85470099188241</v>
      </c>
      <c r="N106" s="8">
        <f t="shared" si="48"/>
        <v>0.79178523605734208</v>
      </c>
      <c r="P106" s="8">
        <f t="shared" si="47"/>
        <v>1877.8025512055945</v>
      </c>
      <c r="Q106" s="8">
        <v>2.390065275591863</v>
      </c>
      <c r="R106" s="8">
        <f t="shared" si="49"/>
        <v>1880.1926164811864</v>
      </c>
      <c r="W106" s="9">
        <f t="shared" si="50"/>
        <v>4.3114154925007496E-2</v>
      </c>
      <c r="X106" s="9">
        <f t="shared" si="51"/>
        <v>4.3535274138601247E-2</v>
      </c>
      <c r="Y106" s="9">
        <f t="shared" si="52"/>
        <v>4.2111921359375511E-4</v>
      </c>
      <c r="Z106" s="9">
        <f t="shared" si="53"/>
        <v>4.3535274138601247E-2</v>
      </c>
    </row>
    <row r="107" spans="1:26">
      <c r="A107" s="8">
        <v>1877</v>
      </c>
      <c r="B107" s="8">
        <v>81.780826799369621</v>
      </c>
      <c r="C107" s="9">
        <f t="shared" si="54"/>
        <v>-9.025039688327352E-4</v>
      </c>
      <c r="D107" s="9">
        <f t="shared" si="55"/>
        <v>-1.0683758836182999E-3</v>
      </c>
      <c r="E107" s="8">
        <v>81.780826799369621</v>
      </c>
      <c r="N107" s="8">
        <f t="shared" si="48"/>
        <v>0.55741554656418257</v>
      </c>
      <c r="P107" s="8">
        <f t="shared" si="47"/>
        <v>1877.8025512055945</v>
      </c>
      <c r="Q107" s="8">
        <v>1.5982800395345209</v>
      </c>
      <c r="R107" s="8">
        <f t="shared" si="49"/>
        <v>1879.400831245129</v>
      </c>
      <c r="W107" s="9">
        <f t="shared" si="50"/>
        <v>4.3217715935026914E-2</v>
      </c>
      <c r="X107" s="9">
        <f t="shared" si="51"/>
        <v>4.3514308092110765E-2</v>
      </c>
      <c r="Y107" s="9">
        <f t="shared" si="52"/>
        <v>2.965921570838548E-4</v>
      </c>
      <c r="Z107" s="9">
        <f t="shared" si="53"/>
        <v>4.3514308092110765E-2</v>
      </c>
    </row>
    <row r="108" spans="1:26">
      <c r="A108" s="8">
        <v>1878</v>
      </c>
      <c r="B108" s="8">
        <v>81.728819485364184</v>
      </c>
      <c r="C108" s="9">
        <f t="shared" si="54"/>
        <v>-6.3593529242522706E-4</v>
      </c>
      <c r="D108" s="9">
        <f t="shared" si="55"/>
        <v>-7.6922851982419438E-4</v>
      </c>
      <c r="E108" s="8">
        <v>81.728819485364184</v>
      </c>
      <c r="N108" s="8">
        <f t="shared" si="48"/>
        <v>0.38959349858166037</v>
      </c>
      <c r="P108" s="8">
        <f t="shared" si="47"/>
        <v>1877.8025512055945</v>
      </c>
      <c r="Q108" s="8">
        <v>1.0408644929703383</v>
      </c>
      <c r="R108" s="8">
        <f t="shared" si="49"/>
        <v>1878.8434156985647</v>
      </c>
      <c r="W108" s="9">
        <f t="shared" si="50"/>
        <v>4.3292179277505213E-2</v>
      </c>
      <c r="X108" s="9">
        <f t="shared" si="51"/>
        <v>4.3499537429507899E-2</v>
      </c>
      <c r="Y108" s="9">
        <f t="shared" si="52"/>
        <v>2.0735815200268154E-4</v>
      </c>
      <c r="Z108" s="9">
        <f t="shared" si="53"/>
        <v>4.3499537429507899E-2</v>
      </c>
    </row>
    <row r="109" spans="1:26">
      <c r="A109" s="8">
        <v>1879</v>
      </c>
      <c r="B109" s="8">
        <v>81.692470101964119</v>
      </c>
      <c r="C109" s="9">
        <f t="shared" si="54"/>
        <v>-4.4475600686455508E-4</v>
      </c>
      <c r="D109" s="9">
        <f t="shared" si="55"/>
        <v>-5.4035022080478612E-4</v>
      </c>
      <c r="E109" s="8">
        <v>81.692470101964119</v>
      </c>
      <c r="N109" s="8">
        <f t="shared" si="48"/>
        <v>0.26589478477428025</v>
      </c>
      <c r="P109" s="8">
        <f t="shared" si="47"/>
        <v>1877.8025512055945</v>
      </c>
      <c r="Q109" s="8">
        <v>0.65127099438867797</v>
      </c>
      <c r="R109" s="8">
        <f t="shared" si="49"/>
        <v>1878.4538221999831</v>
      </c>
      <c r="W109" s="9">
        <f t="shared" si="50"/>
        <v>4.3347658779189863E-2</v>
      </c>
      <c r="X109" s="9">
        <f t="shared" si="51"/>
        <v>4.3489208590865754E-2</v>
      </c>
      <c r="Y109" s="9">
        <f t="shared" si="52"/>
        <v>1.41549811675899E-4</v>
      </c>
      <c r="Z109" s="9">
        <f t="shared" si="53"/>
        <v>4.3489208590865754E-2</v>
      </c>
    </row>
    <row r="110" spans="1:26">
      <c r="A110" s="8">
        <v>1880</v>
      </c>
      <c r="B110" s="8">
        <v>81.667661906983909</v>
      </c>
      <c r="C110" s="9">
        <f t="shared" si="54"/>
        <v>-3.0367786589446943E-4</v>
      </c>
      <c r="D110" s="9">
        <f t="shared" si="55"/>
        <v>-3.7421942519111351E-4</v>
      </c>
      <c r="E110" s="8">
        <v>81.667661906983909</v>
      </c>
      <c r="N110" s="8">
        <f t="shared" si="48"/>
        <v>0.21257737396168574</v>
      </c>
      <c r="P110" s="8">
        <f t="shared" si="47"/>
        <v>1877.8025512055945</v>
      </c>
      <c r="Q110" s="8">
        <v>0.38537620961439772</v>
      </c>
      <c r="R110" s="8">
        <f t="shared" si="49"/>
        <v>1878.1879274152088</v>
      </c>
      <c r="W110" s="9">
        <f t="shared" si="50"/>
        <v>4.3368974607946698E-2</v>
      </c>
      <c r="X110" s="9">
        <f t="shared" si="51"/>
        <v>4.348215677191377E-2</v>
      </c>
      <c r="Y110" s="9">
        <f t="shared" si="52"/>
        <v>1.1318216396707331E-4</v>
      </c>
      <c r="Z110" s="9">
        <f t="shared" si="53"/>
        <v>4.348215677191377E-2</v>
      </c>
    </row>
    <row r="111" spans="1:26">
      <c r="A111" s="8">
        <v>1881</v>
      </c>
      <c r="B111" s="8">
        <v>81.647828268854823</v>
      </c>
      <c r="C111" s="9">
        <f t="shared" si="54"/>
        <v>-2.4285791543388058E-4</v>
      </c>
      <c r="D111" s="9">
        <f t="shared" si="55"/>
        <v>-2.7326835317387221E-4</v>
      </c>
      <c r="E111" s="8">
        <v>81.647828268854823</v>
      </c>
      <c r="N111" s="8">
        <f t="shared" si="48"/>
        <v>9.830328855333928E-2</v>
      </c>
      <c r="P111" s="8">
        <f t="shared" si="47"/>
        <v>1877.8025512055945</v>
      </c>
      <c r="Q111" s="8">
        <v>0.17279883565271198</v>
      </c>
      <c r="R111" s="8">
        <f t="shared" si="49"/>
        <v>1877.9753500412471</v>
      </c>
      <c r="W111" s="9">
        <f t="shared" si="50"/>
        <v>4.3424172196142169E-2</v>
      </c>
      <c r="X111" s="9">
        <f t="shared" si="51"/>
        <v>4.34765175522999E-2</v>
      </c>
      <c r="Y111" s="9">
        <f t="shared" si="52"/>
        <v>5.2345356157726027E-5</v>
      </c>
      <c r="Z111" s="9">
        <f t="shared" si="53"/>
        <v>4.34765175522999E-2</v>
      </c>
    </row>
    <row r="112" spans="1:26">
      <c r="A112" s="8">
        <v>1882</v>
      </c>
      <c r="B112" s="8">
        <v>81.638656493817209</v>
      </c>
      <c r="C112" s="9">
        <f t="shared" si="54"/>
        <v>-1.1233336185523246E-4</v>
      </c>
      <c r="D112" s="9">
        <f t="shared" si="55"/>
        <v>-1.7759776860515331E-4</v>
      </c>
      <c r="E112" s="8">
        <v>81.638656493817209</v>
      </c>
      <c r="N112" s="8">
        <f t="shared" si="48"/>
        <v>3.5466853818271082E-2</v>
      </c>
      <c r="P112" s="8">
        <f t="shared" si="47"/>
        <v>1877.8025512055945</v>
      </c>
      <c r="Q112" s="8">
        <v>7.44955470993727E-2</v>
      </c>
      <c r="R112" s="8">
        <f t="shared" si="49"/>
        <v>1877.8770467526938</v>
      </c>
      <c r="W112" s="9">
        <f t="shared" si="50"/>
        <v>4.3455022671005379E-2</v>
      </c>
      <c r="X112" s="9">
        <f t="shared" si="51"/>
        <v>4.3473909346189783E-2</v>
      </c>
      <c r="Y112" s="9">
        <f t="shared" si="52"/>
        <v>1.8886675184406721E-5</v>
      </c>
      <c r="Z112" s="9">
        <f t="shared" si="53"/>
        <v>4.3473909346189783E-2</v>
      </c>
    </row>
    <row r="113" spans="1:26">
      <c r="A113" s="8">
        <v>1883</v>
      </c>
      <c r="B113" s="8">
        <v>81.635347408136553</v>
      </c>
      <c r="C113" s="9">
        <f t="shared" si="54"/>
        <v>-4.0533318684699005E-5</v>
      </c>
      <c r="D113" s="9">
        <f t="shared" si="55"/>
        <v>-7.6433984725010617E-5</v>
      </c>
      <c r="E113" s="8">
        <v>81.635347408136539</v>
      </c>
      <c r="N113" s="8">
        <f t="shared" si="48"/>
        <v>2.598197792476788E-2</v>
      </c>
      <c r="P113" s="8">
        <f t="shared" si="47"/>
        <v>1877.8025512055945</v>
      </c>
      <c r="Q113" s="8">
        <v>3.9028693281101617E-2</v>
      </c>
      <c r="R113" s="8">
        <f t="shared" si="49"/>
        <v>1877.8415798988756</v>
      </c>
      <c r="W113" s="9">
        <f t="shared" si="50"/>
        <v>4.3459132178022462E-2</v>
      </c>
      <c r="X113" s="9">
        <f t="shared" si="51"/>
        <v>4.3472968264198684E-2</v>
      </c>
      <c r="Y113" s="9">
        <f t="shared" si="52"/>
        <v>1.3836086176218894E-5</v>
      </c>
      <c r="Z113" s="9">
        <f t="shared" si="53"/>
        <v>4.3472968264198691E-2</v>
      </c>
    </row>
    <row r="114" spans="1:26">
      <c r="A114" s="8">
        <v>1884</v>
      </c>
      <c r="B114" s="8">
        <v>81.632923268923449</v>
      </c>
      <c r="C114" s="9">
        <f t="shared" si="54"/>
        <v>-2.9694725263818E-5</v>
      </c>
      <c r="D114" s="9">
        <f t="shared" si="55"/>
        <v>-3.5114036659122938E-5</v>
      </c>
      <c r="E114" s="8">
        <v>81.632923268923449</v>
      </c>
      <c r="N114" s="8">
        <f t="shared" si="48"/>
        <v>1.2781446809969271E-2</v>
      </c>
      <c r="P114" s="8">
        <f t="shared" si="47"/>
        <v>1877.8025512055945</v>
      </c>
      <c r="Q114" s="8">
        <v>1.3046715356333737E-2</v>
      </c>
      <c r="R114" s="8">
        <f t="shared" si="49"/>
        <v>1877.8155979209507</v>
      </c>
      <c r="W114" s="9">
        <f t="shared" si="50"/>
        <v>4.3465472281985697E-2</v>
      </c>
      <c r="X114" s="9">
        <f t="shared" si="51"/>
        <v>4.3472278832545889E-2</v>
      </c>
      <c r="Y114" s="9">
        <f t="shared" si="52"/>
        <v>6.8065505601936762E-6</v>
      </c>
      <c r="Z114" s="9">
        <f t="shared" si="53"/>
        <v>4.3472278832545889E-2</v>
      </c>
    </row>
    <row r="115" spans="1:26">
      <c r="A115" s="8">
        <v>1885</v>
      </c>
      <c r="B115" s="8">
        <v>81.631730749766447</v>
      </c>
      <c r="C115" s="9">
        <f t="shared" si="54"/>
        <v>-1.460831131916418E-5</v>
      </c>
      <c r="D115" s="9">
        <f t="shared" si="55"/>
        <v>-2.215154674212183E-5</v>
      </c>
      <c r="E115" s="8">
        <v>81.631730749766447</v>
      </c>
      <c r="N115" s="8">
        <f t="shared" si="48"/>
        <v>2.2630352630621071E-4</v>
      </c>
      <c r="P115" s="8">
        <f t="shared" si="47"/>
        <v>1877.8025512055945</v>
      </c>
      <c r="Q115" s="8">
        <v>2.6526854636446721E-4</v>
      </c>
      <c r="R115" s="8">
        <f t="shared" si="49"/>
        <v>1877.8028164741409</v>
      </c>
      <c r="W115" s="9">
        <f t="shared" si="50"/>
        <v>4.3471819154854423E-2</v>
      </c>
      <c r="X115" s="9">
        <f t="shared" si="51"/>
        <v>4.3471939669918261E-2</v>
      </c>
      <c r="Y115" s="9">
        <f t="shared" si="52"/>
        <v>1.2051506383994559E-7</v>
      </c>
      <c r="Z115" s="9">
        <f t="shared" si="53"/>
        <v>4.3471939669918261E-2</v>
      </c>
    </row>
    <row r="116" spans="1:26">
      <c r="A116" s="8">
        <v>1886</v>
      </c>
      <c r="B116" s="8">
        <v>81.631709635467388</v>
      </c>
      <c r="C116" s="9">
        <f t="shared" si="54"/>
        <v>-2.5865308583838953E-7</v>
      </c>
      <c r="D116" s="9">
        <f t="shared" si="55"/>
        <v>-7.4335079417453542E-6</v>
      </c>
      <c r="E116" s="8">
        <v>81.631709635467374</v>
      </c>
      <c r="N116" s="8">
        <f t="shared" si="48"/>
        <v>3.8965020058256499E-5</v>
      </c>
      <c r="P116" s="8">
        <f t="shared" si="47"/>
        <v>1877.8025512055945</v>
      </c>
      <c r="Q116" s="8">
        <v>3.8965020058256499E-5</v>
      </c>
      <c r="R116" s="8">
        <f t="shared" si="49"/>
        <v>1877.8025901706146</v>
      </c>
      <c r="W116" s="9">
        <f t="shared" si="50"/>
        <v>4.3471912914461563E-2</v>
      </c>
      <c r="X116" s="9">
        <f t="shared" si="51"/>
        <v>4.3471933664789769E-2</v>
      </c>
      <c r="Y116" s="9">
        <f t="shared" si="52"/>
        <v>2.0750328209269425E-8</v>
      </c>
      <c r="Z116" s="9">
        <f t="shared" si="53"/>
        <v>4.3471933664789783E-2</v>
      </c>
    </row>
    <row r="121" spans="1:26">
      <c r="B121" s="8">
        <v>121.59117279513372</v>
      </c>
    </row>
    <row r="122" spans="1:26">
      <c r="B122" s="8">
        <v>124.072148635752</v>
      </c>
    </row>
    <row r="123" spans="1:26">
      <c r="B123" s="8">
        <v>121.59767765349956</v>
      </c>
    </row>
    <row r="124" spans="1:26">
      <c r="B124" s="8">
        <v>143.2805414669277</v>
      </c>
    </row>
    <row r="125" spans="1:26">
      <c r="B125" s="8">
        <v>127.47633610088127</v>
      </c>
    </row>
    <row r="126" spans="1:26">
      <c r="B126" s="8">
        <v>125.49601392260728</v>
      </c>
    </row>
    <row r="127" spans="1:26">
      <c r="B127" s="8">
        <v>138.64454725218178</v>
      </c>
    </row>
    <row r="128" spans="1:26">
      <c r="B128" s="8">
        <v>143.85609119944851</v>
      </c>
    </row>
    <row r="129" spans="2:2">
      <c r="B129" s="8">
        <v>150.35362772099927</v>
      </c>
    </row>
    <row r="130" spans="2:2">
      <c r="B130" s="8">
        <v>149.88136208636632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L61"/>
  <sheetViews>
    <sheetView workbookViewId="0">
      <selection activeCell="A4" sqref="A4"/>
    </sheetView>
  </sheetViews>
  <sheetFormatPr defaultRowHeight="12.75"/>
  <cols>
    <col min="1" max="38" width="9.140625" style="8"/>
    <col min="39" max="16384" width="9.140625" style="7"/>
  </cols>
  <sheetData>
    <row r="1" spans="1:38">
      <c r="B1" s="8" t="s">
        <v>58</v>
      </c>
      <c r="E1" s="8" t="s">
        <v>91</v>
      </c>
      <c r="L1" s="8" t="s">
        <v>274</v>
      </c>
      <c r="M1" s="8" t="s">
        <v>78</v>
      </c>
      <c r="N1" s="8" t="s">
        <v>16</v>
      </c>
      <c r="O1" s="8" t="s">
        <v>273</v>
      </c>
      <c r="P1" s="8" t="s">
        <v>273</v>
      </c>
      <c r="R1" s="8" t="s">
        <v>58</v>
      </c>
      <c r="S1" s="9">
        <f>(R19/R5)^(1/14)-1</f>
        <v>3.5150333344136309E-2</v>
      </c>
      <c r="U1" s="8" t="s">
        <v>110</v>
      </c>
      <c r="V1" s="8" t="s">
        <v>271</v>
      </c>
      <c r="W1" s="8" t="s">
        <v>270</v>
      </c>
      <c r="Z1" s="8" t="s">
        <v>280</v>
      </c>
      <c r="AB1" s="8" t="s">
        <v>269</v>
      </c>
      <c r="AC1" s="8" t="s">
        <v>268</v>
      </c>
      <c r="AE1" s="8" t="s">
        <v>267</v>
      </c>
      <c r="AI1" s="8" t="s">
        <v>266</v>
      </c>
    </row>
    <row r="2" spans="1:38">
      <c r="B2" s="8" t="s">
        <v>279</v>
      </c>
      <c r="E2" s="8" t="s">
        <v>278</v>
      </c>
      <c r="H2" s="8" t="s">
        <v>183</v>
      </c>
      <c r="I2" s="8" t="s">
        <v>265</v>
      </c>
      <c r="J2" s="8" t="s">
        <v>264</v>
      </c>
      <c r="K2" s="8" t="s">
        <v>263</v>
      </c>
      <c r="L2" s="8" t="s">
        <v>78</v>
      </c>
      <c r="M2" s="8" t="s">
        <v>262</v>
      </c>
      <c r="N2" s="8" t="s">
        <v>261</v>
      </c>
      <c r="O2" s="8" t="s">
        <v>260</v>
      </c>
      <c r="P2" s="8" t="s">
        <v>259</v>
      </c>
      <c r="Q2" s="8" t="s">
        <v>258</v>
      </c>
      <c r="R2" s="8" t="s">
        <v>37</v>
      </c>
      <c r="S2" s="8" t="s">
        <v>277</v>
      </c>
      <c r="T2" s="8" t="s">
        <v>276</v>
      </c>
      <c r="V2" s="8" t="s">
        <v>256</v>
      </c>
      <c r="X2" s="8" t="s">
        <v>253</v>
      </c>
      <c r="Z2" s="8" t="s">
        <v>275</v>
      </c>
      <c r="AA2" s="8" t="s">
        <v>252</v>
      </c>
      <c r="AB2" s="8" t="s">
        <v>255</v>
      </c>
      <c r="AD2" s="8" t="s">
        <v>254</v>
      </c>
      <c r="AF2" s="8" t="s">
        <v>253</v>
      </c>
      <c r="AG2" s="8" t="s">
        <v>252</v>
      </c>
      <c r="AI2" s="8" t="s">
        <v>251</v>
      </c>
    </row>
    <row r="3" spans="1:38">
      <c r="Q3" s="9">
        <v>2.1999999999999999E-2</v>
      </c>
      <c r="AI3" s="8" t="s">
        <v>37</v>
      </c>
      <c r="AK3" s="8" t="s">
        <v>250</v>
      </c>
    </row>
    <row r="4" spans="1:38">
      <c r="A4" s="8">
        <v>1774</v>
      </c>
      <c r="B4" s="8">
        <v>141.97967129513373</v>
      </c>
      <c r="E4" s="8">
        <v>126.40346860859923</v>
      </c>
      <c r="H4" s="8">
        <v>0</v>
      </c>
      <c r="I4" s="8">
        <f>12.804/2+5.23/3*2</f>
        <v>9.8886666666666674</v>
      </c>
      <c r="J4" s="8">
        <v>15</v>
      </c>
      <c r="K4" s="8">
        <f t="shared" ref="K4:K20" si="0">B4-E4</f>
        <v>15.576202686534501</v>
      </c>
      <c r="L4" s="8">
        <f t="shared" ref="L4:L20" si="1">H4-K4+J4+I4</f>
        <v>9.3124639801321667</v>
      </c>
      <c r="M4" s="8">
        <v>0</v>
      </c>
      <c r="N4" s="8">
        <f t="shared" ref="N4:N19" si="2">$Q$3*Q4</f>
        <v>11.473185457104979</v>
      </c>
      <c r="O4" s="8">
        <f t="shared" ref="O4:O20" si="3">M4+J4+I4-K4</f>
        <v>9.3124639801321649</v>
      </c>
      <c r="P4" s="8">
        <f t="shared" ref="P4:P17" si="4">P5-O4</f>
        <v>1763.5245323457577</v>
      </c>
      <c r="Q4" s="8">
        <f>(1+$Q$3)*Q5</f>
        <v>521.50842986840814</v>
      </c>
      <c r="R4" s="8">
        <f t="shared" ref="R4:R20" si="5">Q4+P4</f>
        <v>2285.0329622141658</v>
      </c>
      <c r="U4" s="9">
        <f t="shared" ref="U4:U20" si="6">(E4-N4)/R4</f>
        <v>5.0296991357239931E-2</v>
      </c>
      <c r="V4" s="9">
        <f t="shared" ref="V4:V20" si="7">E4/R4</f>
        <v>5.5318006654099201E-2</v>
      </c>
      <c r="W4" s="9">
        <f t="shared" ref="W4:W20" si="8">(K4+N4)/R4</f>
        <v>1.1837635863873487E-2</v>
      </c>
      <c r="X4" s="9">
        <f t="shared" ref="X4:X20" si="9">B4/R4</f>
        <v>6.2134627221113417E-2</v>
      </c>
      <c r="Z4" s="8">
        <f t="shared" ref="Z4:Z9" si="10">Z5-29.2</f>
        <v>4542.8000000000011</v>
      </c>
      <c r="AA4" s="9">
        <f t="shared" ref="AA4:AA19" si="11">R4/Z4</f>
        <v>0.50300100427361216</v>
      </c>
      <c r="AB4" s="8">
        <v>4.6120000000000001</v>
      </c>
      <c r="AC4" s="9">
        <f>AB4/4.649-1</f>
        <v>-7.9587007958700218E-3</v>
      </c>
      <c r="AD4" s="8">
        <v>127.7</v>
      </c>
      <c r="AE4" s="9">
        <f>(AD4-128.9)/128.9</f>
        <v>-9.3095422808378812E-3</v>
      </c>
      <c r="AF4" s="9">
        <f t="shared" ref="AF4:AF29" si="12">AB4/AD4</f>
        <v>3.6115896632732965E-2</v>
      </c>
      <c r="AI4" s="8">
        <f>AD4/AD$4</f>
        <v>1</v>
      </c>
      <c r="AJ4" s="8">
        <f>R4/R$4</f>
        <v>1</v>
      </c>
      <c r="AK4" s="8">
        <f t="shared" ref="AK4:AK20" si="13">AD4*23.84</f>
        <v>3044.3679999999999</v>
      </c>
      <c r="AL4" s="8">
        <f t="shared" ref="AL4:AL20" si="14">R4</f>
        <v>2285.0329622141658</v>
      </c>
    </row>
    <row r="5" spans="1:38">
      <c r="A5" s="8">
        <v>1775</v>
      </c>
      <c r="B5" s="8">
        <v>146.28664713575202</v>
      </c>
      <c r="C5" s="9">
        <f t="shared" ref="C5:C20" si="15">B5/B4-1</f>
        <v>3.0335158557068143E-2</v>
      </c>
      <c r="D5" s="9">
        <f>C5</f>
        <v>3.0335158557068143E-2</v>
      </c>
      <c r="E5" s="8">
        <v>126.77166271747825</v>
      </c>
      <c r="F5" s="9">
        <f t="shared" ref="F5:F20" si="16">E5/E4-1</f>
        <v>2.9128481435831688E-3</v>
      </c>
      <c r="G5" s="9">
        <f t="shared" ref="G5:G18" si="17">(+E5/E4-1+E6/E5-1)/2</f>
        <v>-8.4907364183793854E-3</v>
      </c>
      <c r="H5" s="8">
        <v>0</v>
      </c>
      <c r="I5" s="8">
        <v>12.804</v>
      </c>
      <c r="J5" s="8">
        <v>-27.5</v>
      </c>
      <c r="K5" s="8">
        <f t="shared" si="0"/>
        <v>19.51498441827377</v>
      </c>
      <c r="L5" s="8">
        <f t="shared" si="1"/>
        <v>-34.210984418273767</v>
      </c>
      <c r="M5" s="8">
        <v>0</v>
      </c>
      <c r="N5" s="8">
        <f t="shared" si="2"/>
        <v>11.226208862137943</v>
      </c>
      <c r="O5" s="8">
        <f t="shared" si="3"/>
        <v>-34.210984418273767</v>
      </c>
      <c r="P5" s="8">
        <f t="shared" si="4"/>
        <v>1772.8369963258899</v>
      </c>
      <c r="Q5" s="8">
        <f>(1+$Q$3)*Q6</f>
        <v>510.28222100627016</v>
      </c>
      <c r="R5" s="8">
        <f t="shared" si="5"/>
        <v>2283.1192173321601</v>
      </c>
      <c r="S5" s="9">
        <f t="shared" ref="S5:S20" si="18">R5/R4-1</f>
        <v>-8.3751303095047636E-4</v>
      </c>
      <c r="T5" s="9">
        <f t="shared" ref="T5:T19" si="19">(+R5/R4-1+R6/R5-1)/2</f>
        <v>-1.0316516751550375E-2</v>
      </c>
      <c r="U5" s="9">
        <f t="shared" si="6"/>
        <v>5.060859414531841E-2</v>
      </c>
      <c r="V5" s="9">
        <f t="shared" si="7"/>
        <v>5.55256430567002E-2</v>
      </c>
      <c r="W5" s="9">
        <f t="shared" si="8"/>
        <v>1.3464558945079093E-2</v>
      </c>
      <c r="X5" s="9">
        <f t="shared" si="9"/>
        <v>6.4073153090397503E-2</v>
      </c>
      <c r="Z5" s="8">
        <f t="shared" si="10"/>
        <v>4572.0000000000009</v>
      </c>
      <c r="AA5" s="9">
        <f t="shared" si="11"/>
        <v>0.49936990755296579</v>
      </c>
      <c r="AB5" s="8">
        <v>4.6740000000000004</v>
      </c>
      <c r="AC5" s="9">
        <f t="shared" ref="AC5:AC36" si="20">AB5/AB4-1</f>
        <v>1.3443191673894184E-2</v>
      </c>
      <c r="AD5" s="8">
        <v>127.3</v>
      </c>
      <c r="AE5" s="9">
        <f t="shared" ref="AE5:AE29" si="21">AD5/AD4-1</f>
        <v>-3.1323414252153459E-3</v>
      </c>
      <c r="AF5" s="9">
        <f t="shared" si="12"/>
        <v>3.6716417910447767E-2</v>
      </c>
      <c r="AI5" s="8">
        <v>0.99686765857478465</v>
      </c>
      <c r="AJ5" s="8">
        <v>1.0017744021884354</v>
      </c>
      <c r="AK5" s="8">
        <f t="shared" si="13"/>
        <v>3034.8319999999999</v>
      </c>
      <c r="AL5" s="8">
        <f t="shared" si="14"/>
        <v>2283.1192173321601</v>
      </c>
    </row>
    <row r="6" spans="1:38">
      <c r="A6" s="8">
        <v>1776</v>
      </c>
      <c r="B6" s="8">
        <v>142.66767615349954</v>
      </c>
      <c r="C6" s="9">
        <f t="shared" si="15"/>
        <v>-2.4738901691376713E-2</v>
      </c>
      <c r="D6" s="9">
        <f t="shared" ref="D6:D20" si="22">(B6/B4)^0.05-1</f>
        <v>2.417339765228288E-4</v>
      </c>
      <c r="E6" s="8">
        <v>124.24962656816508</v>
      </c>
      <c r="F6" s="9">
        <f t="shared" si="16"/>
        <v>-1.989432098034194E-2</v>
      </c>
      <c r="G6" s="9">
        <f t="shared" si="17"/>
        <v>-9.6422665251283401E-3</v>
      </c>
      <c r="H6" s="8">
        <v>24.591999999999999</v>
      </c>
      <c r="I6" s="8">
        <v>12.804</v>
      </c>
      <c r="J6" s="8">
        <v>21.300999999999998</v>
      </c>
      <c r="K6" s="8">
        <f t="shared" si="0"/>
        <v>18.418049585334458</v>
      </c>
      <c r="L6" s="8">
        <f t="shared" si="1"/>
        <v>40.278950414665537</v>
      </c>
      <c r="M6" s="8">
        <f>24.592-4.05</f>
        <v>20.541999999999998</v>
      </c>
      <c r="N6" s="8">
        <f t="shared" si="2"/>
        <v>10.984548788784679</v>
      </c>
      <c r="O6" s="8">
        <f t="shared" si="3"/>
        <v>36.22895041466554</v>
      </c>
      <c r="P6" s="8">
        <f t="shared" si="4"/>
        <v>1738.6260119076162</v>
      </c>
      <c r="Q6" s="8">
        <f>(1+$Q$3)*(Q7-4.05)</f>
        <v>499.29767221748546</v>
      </c>
      <c r="R6" s="8">
        <f t="shared" si="5"/>
        <v>2237.9236841251018</v>
      </c>
      <c r="S6" s="9">
        <f t="shared" si="18"/>
        <v>-1.9795520472150274E-2</v>
      </c>
      <c r="T6" s="9">
        <f t="shared" si="19"/>
        <v>-3.2999347979757454E-3</v>
      </c>
      <c r="U6" s="9">
        <f t="shared" si="6"/>
        <v>5.0611680185001694E-2</v>
      </c>
      <c r="V6" s="9">
        <f t="shared" si="7"/>
        <v>5.5520046304322244E-2</v>
      </c>
      <c r="W6" s="9">
        <f t="shared" si="8"/>
        <v>1.3138338265370227E-2</v>
      </c>
      <c r="X6" s="9">
        <f t="shared" si="9"/>
        <v>6.3750018450371926E-2</v>
      </c>
      <c r="Z6" s="8">
        <f t="shared" si="10"/>
        <v>4601.2000000000007</v>
      </c>
      <c r="AA6" s="9">
        <f t="shared" si="11"/>
        <v>0.48637826743569101</v>
      </c>
      <c r="AB6" s="8">
        <v>4.6319999999999997</v>
      </c>
      <c r="AC6" s="9">
        <f t="shared" si="20"/>
        <v>-8.9858793324776309E-3</v>
      </c>
      <c r="AD6" s="8">
        <v>131.19999999999999</v>
      </c>
      <c r="AE6" s="9">
        <f t="shared" si="21"/>
        <v>3.0636292223094941E-2</v>
      </c>
      <c r="AF6" s="9">
        <f t="shared" si="12"/>
        <v>3.5304878048780491E-2</v>
      </c>
      <c r="AI6" s="8">
        <v>1.0274079874706341</v>
      </c>
      <c r="AJ6" s="8">
        <v>0.98371522816579204</v>
      </c>
      <c r="AK6" s="8">
        <f t="shared" si="13"/>
        <v>3127.8079999999995</v>
      </c>
      <c r="AL6" s="8">
        <f t="shared" si="14"/>
        <v>2237.9236841251018</v>
      </c>
    </row>
    <row r="7" spans="1:38">
      <c r="A7" s="8">
        <v>1777</v>
      </c>
      <c r="B7" s="8">
        <v>165.25187330026105</v>
      </c>
      <c r="C7" s="9">
        <f t="shared" si="15"/>
        <v>0.15829932718931117</v>
      </c>
      <c r="D7" s="9">
        <f t="shared" si="22"/>
        <v>6.1137522274241629E-3</v>
      </c>
      <c r="E7" s="8">
        <v>124.32539249076396</v>
      </c>
      <c r="F7" s="9">
        <f t="shared" si="16"/>
        <v>6.0978793008525933E-4</v>
      </c>
      <c r="G7" s="9">
        <f t="shared" si="17"/>
        <v>4.21594167019268E-3</v>
      </c>
      <c r="H7" s="8">
        <v>77.972300000000004</v>
      </c>
      <c r="I7" s="8">
        <f>12.804-1.1984</f>
        <v>11.605600000000001</v>
      </c>
      <c r="J7" s="8">
        <v>24.199000000000002</v>
      </c>
      <c r="K7" s="8">
        <f t="shared" si="0"/>
        <v>40.926480809497093</v>
      </c>
      <c r="L7" s="8">
        <f t="shared" si="1"/>
        <v>72.850419190502905</v>
      </c>
      <c r="M7" s="8">
        <f>77.9723-12</f>
        <v>65.972300000000004</v>
      </c>
      <c r="N7" s="8">
        <f t="shared" si="2"/>
        <v>10.837190791374441</v>
      </c>
      <c r="O7" s="8">
        <f t="shared" si="3"/>
        <v>60.850419190502905</v>
      </c>
      <c r="P7" s="8">
        <f t="shared" si="4"/>
        <v>1774.8549623222818</v>
      </c>
      <c r="Q7" s="8">
        <f>(1+$Q$3)*(Q8-14.863)</f>
        <v>492.599581426111</v>
      </c>
      <c r="R7" s="8">
        <f t="shared" si="5"/>
        <v>2267.454543748393</v>
      </c>
      <c r="S7" s="9">
        <f t="shared" si="18"/>
        <v>1.3195650876198783E-2</v>
      </c>
      <c r="T7" s="9">
        <f t="shared" si="19"/>
        <v>2.0955227769733353E-2</v>
      </c>
      <c r="U7" s="9">
        <f t="shared" si="6"/>
        <v>5.005092693579602E-2</v>
      </c>
      <c r="V7" s="9">
        <f t="shared" si="7"/>
        <v>5.4830379216880859E-2</v>
      </c>
      <c r="W7" s="9">
        <f t="shared" si="8"/>
        <v>2.2828978752226517E-2</v>
      </c>
      <c r="X7" s="9">
        <f t="shared" si="9"/>
        <v>7.2879905688022537E-2</v>
      </c>
      <c r="Z7" s="8">
        <f t="shared" si="10"/>
        <v>4630.4000000000005</v>
      </c>
      <c r="AA7" s="9">
        <f t="shared" si="11"/>
        <v>0.48968869725043035</v>
      </c>
      <c r="AB7" s="8">
        <v>4.7089999999999996</v>
      </c>
      <c r="AC7" s="9">
        <f t="shared" si="20"/>
        <v>1.6623488773747752E-2</v>
      </c>
      <c r="AD7" s="8">
        <v>136.6</v>
      </c>
      <c r="AE7" s="9">
        <f t="shared" si="21"/>
        <v>4.1158536585365946E-2</v>
      </c>
      <c r="AF7" s="9">
        <f t="shared" si="12"/>
        <v>3.4472913616398239E-2</v>
      </c>
      <c r="AI7" s="8">
        <v>1.0696945967110414</v>
      </c>
      <c r="AJ7" s="8">
        <v>0.99492120340594226</v>
      </c>
      <c r="AK7" s="8">
        <f t="shared" si="13"/>
        <v>3256.5439999999999</v>
      </c>
      <c r="AL7" s="8">
        <f t="shared" si="14"/>
        <v>2267.454543748393</v>
      </c>
    </row>
    <row r="8" spans="1:38">
      <c r="A8" s="8">
        <v>1778</v>
      </c>
      <c r="B8" s="8">
        <v>148.14706793421459</v>
      </c>
      <c r="C8" s="9">
        <f t="shared" si="15"/>
        <v>-0.10350748239305707</v>
      </c>
      <c r="D8" s="9">
        <f t="shared" si="22"/>
        <v>1.8861515450872002E-3</v>
      </c>
      <c r="E8" s="8">
        <v>125.29787757274973</v>
      </c>
      <c r="F8" s="9">
        <f t="shared" si="16"/>
        <v>7.8220954103001006E-3</v>
      </c>
      <c r="G8" s="9">
        <f t="shared" si="17"/>
        <v>1.8608174350462692E-2</v>
      </c>
      <c r="H8" s="8">
        <v>106.8085</v>
      </c>
      <c r="I8" s="8">
        <v>12.804</v>
      </c>
      <c r="J8" s="8">
        <v>8</v>
      </c>
      <c r="K8" s="8">
        <f t="shared" si="0"/>
        <v>22.849190361464863</v>
      </c>
      <c r="L8" s="8">
        <f t="shared" si="1"/>
        <v>104.76330963853513</v>
      </c>
      <c r="M8" s="8">
        <f>106.8085-48.366</f>
        <v>58.442499999999995</v>
      </c>
      <c r="N8" s="8">
        <f t="shared" si="2"/>
        <v>10.930890883928026</v>
      </c>
      <c r="O8" s="8">
        <f t="shared" si="3"/>
        <v>56.397309638535134</v>
      </c>
      <c r="P8" s="8">
        <f t="shared" si="4"/>
        <v>1835.7053815127847</v>
      </c>
      <c r="Q8" s="8">
        <f>(1+$Q$3)*(Q9-48.366)</f>
        <v>496.85867654218299</v>
      </c>
      <c r="R8" s="8">
        <f t="shared" si="5"/>
        <v>2332.5640580549675</v>
      </c>
      <c r="S8" s="9">
        <f t="shared" si="18"/>
        <v>2.8714804663267923E-2</v>
      </c>
      <c r="T8" s="9">
        <f t="shared" si="19"/>
        <v>3.4521419127795494E-2</v>
      </c>
      <c r="U8" s="9">
        <f t="shared" si="6"/>
        <v>4.9030587731934694E-2</v>
      </c>
      <c r="V8" s="9">
        <f t="shared" si="7"/>
        <v>5.37168002482344E-2</v>
      </c>
      <c r="W8" s="9">
        <f t="shared" si="8"/>
        <v>1.4481952222808733E-2</v>
      </c>
      <c r="X8" s="9">
        <f t="shared" si="9"/>
        <v>6.351253995474343E-2</v>
      </c>
      <c r="Z8" s="8">
        <f t="shared" si="10"/>
        <v>4659.6000000000004</v>
      </c>
      <c r="AA8" s="9">
        <f t="shared" si="11"/>
        <v>0.50059319642350575</v>
      </c>
      <c r="AB8" s="8">
        <v>5.03</v>
      </c>
      <c r="AC8" s="9">
        <f t="shared" si="20"/>
        <v>6.8167339137821248E-2</v>
      </c>
      <c r="AD8" s="8">
        <v>143.1</v>
      </c>
      <c r="AE8" s="9">
        <f t="shared" si="21"/>
        <v>4.7584187408491907E-2</v>
      </c>
      <c r="AF8" s="9">
        <f t="shared" si="12"/>
        <v>3.5150244584206854E-2</v>
      </c>
      <c r="AI8" s="8">
        <v>1.1205951448707909</v>
      </c>
      <c r="AJ8" s="8">
        <v>1.0181493244695974</v>
      </c>
      <c r="AK8" s="8">
        <f t="shared" si="13"/>
        <v>3411.5039999999999</v>
      </c>
      <c r="AL8" s="8">
        <f t="shared" si="14"/>
        <v>2332.5640580549675</v>
      </c>
    </row>
    <row r="9" spans="1:38">
      <c r="A9" s="8">
        <v>1779</v>
      </c>
      <c r="B9" s="8">
        <v>147.30124575594061</v>
      </c>
      <c r="C9" s="9">
        <f t="shared" si="15"/>
        <v>-5.709341332692297E-3</v>
      </c>
      <c r="D9" s="9">
        <f t="shared" si="22"/>
        <v>-5.7330546657523573E-3</v>
      </c>
      <c r="E9" s="8">
        <v>128.98091512290088</v>
      </c>
      <c r="F9" s="9">
        <f t="shared" si="16"/>
        <v>2.9394253290625283E-2</v>
      </c>
      <c r="G9" s="9">
        <f t="shared" si="17"/>
        <v>5.3430751946013433E-2</v>
      </c>
      <c r="H9" s="8">
        <v>114.849</v>
      </c>
      <c r="I9" s="8">
        <f>12.804-0.573</f>
        <v>12.231</v>
      </c>
      <c r="J9" s="8">
        <v>8</v>
      </c>
      <c r="K9" s="8">
        <f t="shared" si="0"/>
        <v>18.320330633039731</v>
      </c>
      <c r="L9" s="8">
        <f t="shared" si="1"/>
        <v>116.75966936696027</v>
      </c>
      <c r="M9" s="8">
        <f>114.849-69.448</f>
        <v>45.40100000000001</v>
      </c>
      <c r="N9" s="8">
        <f t="shared" si="2"/>
        <v>11.759639949048948</v>
      </c>
      <c r="O9" s="8">
        <f t="shared" si="3"/>
        <v>47.311669366960274</v>
      </c>
      <c r="P9" s="8">
        <f t="shared" si="4"/>
        <v>1892.1026911513197</v>
      </c>
      <c r="Q9" s="8">
        <f>(1+$Q$3)*(Q10-69.448)</f>
        <v>534.52908859313402</v>
      </c>
      <c r="R9" s="8">
        <f t="shared" si="5"/>
        <v>2426.6317797444535</v>
      </c>
      <c r="S9" s="9">
        <f t="shared" si="18"/>
        <v>4.0328033592323065E-2</v>
      </c>
      <c r="T9" s="9">
        <f t="shared" si="19"/>
        <v>4.1851108597810938E-2</v>
      </c>
      <c r="U9" s="9">
        <f t="shared" si="6"/>
        <v>4.8306165011238911E-2</v>
      </c>
      <c r="V9" s="9">
        <f t="shared" si="7"/>
        <v>5.31522401542453E-2</v>
      </c>
      <c r="W9" s="9">
        <f t="shared" si="8"/>
        <v>1.2395770480371921E-2</v>
      </c>
      <c r="X9" s="9">
        <f t="shared" si="9"/>
        <v>6.0701935491610834E-2</v>
      </c>
      <c r="Z9" s="8">
        <f t="shared" si="10"/>
        <v>4688.8</v>
      </c>
      <c r="AA9" s="9">
        <f t="shared" si="11"/>
        <v>0.51753791583015984</v>
      </c>
      <c r="AB9" s="8">
        <v>5.6180000000000003</v>
      </c>
      <c r="AC9" s="9">
        <f t="shared" si="20"/>
        <v>0.11689860834990062</v>
      </c>
      <c r="AD9" s="8">
        <v>153.4</v>
      </c>
      <c r="AE9" s="9">
        <f t="shared" si="21"/>
        <v>7.1977638015374046E-2</v>
      </c>
      <c r="AF9" s="9">
        <f t="shared" si="12"/>
        <v>3.6623207301173404E-2</v>
      </c>
      <c r="AI9" s="8">
        <v>1.2012529365700861</v>
      </c>
      <c r="AJ9" s="8">
        <v>1.0613817836898614</v>
      </c>
      <c r="AK9" s="8">
        <f t="shared" si="13"/>
        <v>3657.056</v>
      </c>
      <c r="AL9" s="8">
        <f t="shared" si="14"/>
        <v>2426.6317797444535</v>
      </c>
    </row>
    <row r="10" spans="1:38">
      <c r="A10" s="8">
        <v>1780</v>
      </c>
      <c r="B10" s="8">
        <v>162.82932908551513</v>
      </c>
      <c r="C10" s="9">
        <f t="shared" si="15"/>
        <v>0.10541718944660228</v>
      </c>
      <c r="D10" s="9">
        <f t="shared" si="22"/>
        <v>4.7360351702419035E-3</v>
      </c>
      <c r="E10" s="8">
        <v>138.97271199752475</v>
      </c>
      <c r="F10" s="9">
        <f t="shared" si="16"/>
        <v>7.7467250601401583E-2</v>
      </c>
      <c r="G10" s="9">
        <f t="shared" si="17"/>
        <v>3.3954351657301762E-2</v>
      </c>
      <c r="H10" s="8">
        <v>76.814400000000006</v>
      </c>
      <c r="I10" s="8">
        <v>12.804</v>
      </c>
      <c r="J10" s="8">
        <v>7</v>
      </c>
      <c r="K10" s="8">
        <f t="shared" si="0"/>
        <v>23.856617087990372</v>
      </c>
      <c r="L10" s="8">
        <f t="shared" si="1"/>
        <v>72.761782912009636</v>
      </c>
      <c r="M10" s="8">
        <v>76.814400000000006</v>
      </c>
      <c r="N10" s="8">
        <f t="shared" si="2"/>
        <v>13.034353014724996</v>
      </c>
      <c r="O10" s="8">
        <f t="shared" si="3"/>
        <v>72.761782912009636</v>
      </c>
      <c r="P10" s="8">
        <f t="shared" si="4"/>
        <v>1939.4143605182801</v>
      </c>
      <c r="Q10" s="8">
        <f>(1+$Q$3)*Q11</f>
        <v>592.47059157840897</v>
      </c>
      <c r="R10" s="8">
        <f t="shared" si="5"/>
        <v>2531.8849520966892</v>
      </c>
      <c r="S10" s="9">
        <f t="shared" si="18"/>
        <v>4.337418360329881E-2</v>
      </c>
      <c r="T10" s="9">
        <f t="shared" si="19"/>
        <v>3.3537553804119047E-2</v>
      </c>
      <c r="U10" s="9">
        <f t="shared" si="6"/>
        <v>4.9740948489191202E-2</v>
      </c>
      <c r="V10" s="9">
        <f t="shared" si="7"/>
        <v>5.4889031147501197E-2</v>
      </c>
      <c r="W10" s="9">
        <f t="shared" si="8"/>
        <v>1.4570555455991572E-2</v>
      </c>
      <c r="X10" s="9">
        <f t="shared" si="9"/>
        <v>6.4311503945182771E-2</v>
      </c>
      <c r="Z10" s="8">
        <v>4718</v>
      </c>
      <c r="AA10" s="9">
        <f t="shared" si="11"/>
        <v>0.53664369480641994</v>
      </c>
      <c r="AB10" s="8">
        <v>5.9950000000000001</v>
      </c>
      <c r="AC10" s="9">
        <f t="shared" si="20"/>
        <v>6.7105731577073557E-2</v>
      </c>
      <c r="AD10" s="8">
        <v>167.2</v>
      </c>
      <c r="AE10" s="9">
        <f t="shared" si="21"/>
        <v>8.9960886571055942E-2</v>
      </c>
      <c r="AF10" s="9">
        <f t="shared" si="12"/>
        <v>3.5855263157894737E-2</v>
      </c>
      <c r="AI10" s="8">
        <v>1.3093187157400155</v>
      </c>
      <c r="AJ10" s="8">
        <v>1.1094725073768525</v>
      </c>
      <c r="AK10" s="8">
        <f t="shared" si="13"/>
        <v>3986.0479999999998</v>
      </c>
      <c r="AL10" s="8">
        <f t="shared" si="14"/>
        <v>2531.8849520966892</v>
      </c>
    </row>
    <row r="11" spans="1:38">
      <c r="A11" s="8">
        <v>1781</v>
      </c>
      <c r="B11" s="8">
        <v>167.10009803280144</v>
      </c>
      <c r="C11" s="9">
        <f t="shared" si="15"/>
        <v>2.6228499320557708E-2</v>
      </c>
      <c r="D11" s="9">
        <f t="shared" si="22"/>
        <v>6.3255846185128473E-3</v>
      </c>
      <c r="E11" s="8">
        <v>137.64433475832183</v>
      </c>
      <c r="F11" s="9">
        <f t="shared" si="16"/>
        <v>-9.5585472867981691E-3</v>
      </c>
      <c r="G11" s="9">
        <f t="shared" si="17"/>
        <v>4.1759869038926922E-2</v>
      </c>
      <c r="H11" s="8">
        <v>194.01570000000001</v>
      </c>
      <c r="I11" s="8">
        <v>0</v>
      </c>
      <c r="J11" s="8">
        <v>33.76</v>
      </c>
      <c r="K11" s="8">
        <f t="shared" si="0"/>
        <v>29.455763274479608</v>
      </c>
      <c r="L11" s="8">
        <f t="shared" si="1"/>
        <v>198.31993672552039</v>
      </c>
      <c r="M11" s="8">
        <f>194.0157-77.343-30</f>
        <v>86.672700000000006</v>
      </c>
      <c r="N11" s="8">
        <f t="shared" si="2"/>
        <v>12.753770073116435</v>
      </c>
      <c r="O11" s="8">
        <f t="shared" si="3"/>
        <v>90.976936725520403</v>
      </c>
      <c r="P11" s="8">
        <f t="shared" si="4"/>
        <v>2012.1761434302898</v>
      </c>
      <c r="Q11" s="8">
        <f>(1+$Q$3)*(Q12-120.543)</f>
        <v>579.7168215052925</v>
      </c>
      <c r="R11" s="8">
        <f t="shared" si="5"/>
        <v>2591.8929649355823</v>
      </c>
      <c r="S11" s="9">
        <f t="shared" si="18"/>
        <v>2.3700924004939283E-2</v>
      </c>
      <c r="T11" s="9">
        <f t="shared" si="19"/>
        <v>5.024724619472376E-2</v>
      </c>
      <c r="U11" s="9">
        <f t="shared" si="6"/>
        <v>4.8185078000822987E-2</v>
      </c>
      <c r="V11" s="9">
        <f t="shared" si="7"/>
        <v>5.310571718062547E-2</v>
      </c>
      <c r="W11" s="9">
        <f t="shared" si="8"/>
        <v>1.6285214674613347E-2</v>
      </c>
      <c r="X11" s="9">
        <f t="shared" si="9"/>
        <v>6.447029267543633E-2</v>
      </c>
      <c r="Z11" s="8">
        <f t="shared" ref="Z11:Z20" si="23">Z10+122.3</f>
        <v>4840.3</v>
      </c>
      <c r="AA11" s="9">
        <f t="shared" si="11"/>
        <v>0.53548188437402278</v>
      </c>
      <c r="AB11" s="8">
        <v>6.9169999999999998</v>
      </c>
      <c r="AC11" s="9">
        <f t="shared" si="20"/>
        <v>0.15379482902418684</v>
      </c>
      <c r="AD11" s="8">
        <v>190.4</v>
      </c>
      <c r="AE11" s="9">
        <f t="shared" si="21"/>
        <v>0.13875598086124419</v>
      </c>
      <c r="AF11" s="9">
        <f t="shared" si="12"/>
        <v>3.6328781512605039E-2</v>
      </c>
      <c r="AI11" s="8">
        <v>1.490994518402506</v>
      </c>
      <c r="AJ11" s="8">
        <v>1.1412725109287403</v>
      </c>
      <c r="AK11" s="8">
        <f t="shared" si="13"/>
        <v>4539.1360000000004</v>
      </c>
      <c r="AL11" s="8">
        <f t="shared" si="14"/>
        <v>2591.8929649355823</v>
      </c>
    </row>
    <row r="12" spans="1:38">
      <c r="A12" s="8">
        <v>1782</v>
      </c>
      <c r="B12" s="8">
        <v>182.03916955437722</v>
      </c>
      <c r="C12" s="9">
        <f t="shared" si="15"/>
        <v>8.9401931521567723E-2</v>
      </c>
      <c r="D12" s="9">
        <f t="shared" si="22"/>
        <v>5.5915391154999217E-3</v>
      </c>
      <c r="E12" s="8">
        <v>150.4560334277846</v>
      </c>
      <c r="F12" s="9">
        <f t="shared" si="16"/>
        <v>9.3078285364652125E-2</v>
      </c>
      <c r="G12" s="9">
        <f t="shared" si="17"/>
        <v>0.10086432537633616</v>
      </c>
      <c r="H12" s="8">
        <v>161.42619999999999</v>
      </c>
      <c r="I12" s="8">
        <v>8.1440000000000001</v>
      </c>
      <c r="J12" s="8">
        <v>24.25</v>
      </c>
      <c r="K12" s="8">
        <f t="shared" si="0"/>
        <v>31.58313612659262</v>
      </c>
      <c r="L12" s="8">
        <f t="shared" si="1"/>
        <v>162.23706387340738</v>
      </c>
      <c r="M12" s="8">
        <f>161.4262-145.109-7.535</f>
        <v>8.7821999999999854</v>
      </c>
      <c r="N12" s="8">
        <f t="shared" si="2"/>
        <v>15.13117307741334</v>
      </c>
      <c r="O12" s="8">
        <f t="shared" si="3"/>
        <v>9.5930638734073668</v>
      </c>
      <c r="P12" s="8">
        <f t="shared" si="4"/>
        <v>2103.1530801558101</v>
      </c>
      <c r="Q12" s="8">
        <f>(1+$Q$3)*(Q13-152.644)</f>
        <v>687.78059442787912</v>
      </c>
      <c r="R12" s="8">
        <f t="shared" si="5"/>
        <v>2790.933674583689</v>
      </c>
      <c r="S12" s="9">
        <f t="shared" si="18"/>
        <v>7.6793568384508237E-2</v>
      </c>
      <c r="T12" s="9">
        <f t="shared" si="19"/>
        <v>6.4809380827389962E-2</v>
      </c>
      <c r="U12" s="9">
        <f t="shared" si="6"/>
        <v>4.8487307879345097E-2</v>
      </c>
      <c r="V12" s="9">
        <f t="shared" si="7"/>
        <v>5.3908853083091429E-2</v>
      </c>
      <c r="W12" s="9">
        <f t="shared" si="8"/>
        <v>1.6737878663839661E-2</v>
      </c>
      <c r="X12" s="9">
        <f t="shared" si="9"/>
        <v>6.5225186543184765E-2</v>
      </c>
      <c r="Z12" s="8">
        <f t="shared" si="23"/>
        <v>4962.6000000000004</v>
      </c>
      <c r="AA12" s="9">
        <f t="shared" si="11"/>
        <v>0.56239343783171902</v>
      </c>
      <c r="AB12" s="8">
        <v>7.3639999999999999</v>
      </c>
      <c r="AC12" s="9">
        <f t="shared" si="20"/>
        <v>6.4623391643776174E-2</v>
      </c>
      <c r="AD12" s="8">
        <v>214.3</v>
      </c>
      <c r="AE12" s="9">
        <f t="shared" si="21"/>
        <v>0.12552521008403361</v>
      </c>
      <c r="AF12" s="9">
        <f t="shared" si="12"/>
        <v>3.4363042463835744E-2</v>
      </c>
      <c r="AI12" s="8">
        <v>1.6781519185591229</v>
      </c>
      <c r="AJ12" s="8">
        <v>1.2296151075322457</v>
      </c>
      <c r="AK12" s="8">
        <f t="shared" si="13"/>
        <v>5108.9120000000003</v>
      </c>
      <c r="AL12" s="8">
        <f t="shared" si="14"/>
        <v>2790.933674583689</v>
      </c>
    </row>
    <row r="13" spans="1:38">
      <c r="A13" s="8">
        <v>1783</v>
      </c>
      <c r="B13" s="8">
        <v>201.79458297667702</v>
      </c>
      <c r="C13" s="9">
        <f t="shared" si="15"/>
        <v>0.10852287159219665</v>
      </c>
      <c r="D13" s="9">
        <f t="shared" si="22"/>
        <v>9.4774917497744138E-3</v>
      </c>
      <c r="E13" s="8">
        <v>166.80313643454559</v>
      </c>
      <c r="F13" s="9">
        <f t="shared" si="16"/>
        <v>0.1086503653880202</v>
      </c>
      <c r="G13" s="9">
        <f t="shared" si="17"/>
        <v>7.1653481907818506E-2</v>
      </c>
      <c r="H13" s="8">
        <v>114.90568</v>
      </c>
      <c r="I13" s="8">
        <v>8.1440000000000001</v>
      </c>
      <c r="J13" s="8">
        <v>20</v>
      </c>
      <c r="K13" s="8">
        <f t="shared" si="0"/>
        <v>34.991446542131428</v>
      </c>
      <c r="L13" s="8">
        <f t="shared" si="1"/>
        <v>108.05823345786858</v>
      </c>
      <c r="M13" s="8">
        <v>114.90568</v>
      </c>
      <c r="N13" s="8">
        <f t="shared" si="2"/>
        <v>18.163621109015008</v>
      </c>
      <c r="O13" s="8">
        <f t="shared" si="3"/>
        <v>108.0582334578686</v>
      </c>
      <c r="P13" s="8">
        <f t="shared" si="4"/>
        <v>2112.7461440292177</v>
      </c>
      <c r="Q13" s="8">
        <f>(1+$Q$3)*(Q14-11)</f>
        <v>825.61914131886408</v>
      </c>
      <c r="R13" s="8">
        <f t="shared" si="5"/>
        <v>2938.3652853480817</v>
      </c>
      <c r="S13" s="9">
        <f t="shared" si="18"/>
        <v>5.2825193270271686E-2</v>
      </c>
      <c r="T13" s="9">
        <f t="shared" si="19"/>
        <v>4.3647623636132171E-2</v>
      </c>
      <c r="U13" s="9">
        <f t="shared" si="6"/>
        <v>5.0585785255056408E-2</v>
      </c>
      <c r="V13" s="9">
        <f t="shared" si="7"/>
        <v>5.6767324766017278E-2</v>
      </c>
      <c r="W13" s="9">
        <f t="shared" si="8"/>
        <v>1.8090013490221872E-2</v>
      </c>
      <c r="X13" s="9">
        <f t="shared" si="9"/>
        <v>6.8675798745278266E-2</v>
      </c>
      <c r="Z13" s="8">
        <f t="shared" si="23"/>
        <v>5084.9000000000005</v>
      </c>
      <c r="AA13" s="9">
        <f t="shared" si="11"/>
        <v>0.57786097766880007</v>
      </c>
      <c r="AB13" s="8">
        <v>8.0540000000000003</v>
      </c>
      <c r="AC13" s="9">
        <f t="shared" si="20"/>
        <v>9.3699076588810382E-2</v>
      </c>
      <c r="AD13" s="8">
        <v>231.8</v>
      </c>
      <c r="AE13" s="9">
        <f t="shared" si="21"/>
        <v>8.1661222585160953E-2</v>
      </c>
      <c r="AF13" s="9">
        <f t="shared" si="12"/>
        <v>3.4745470232959444E-2</v>
      </c>
      <c r="AI13" s="8">
        <v>1.8151918559122946</v>
      </c>
      <c r="AJ13" s="8">
        <v>1.2955149722480459</v>
      </c>
      <c r="AK13" s="8">
        <f t="shared" si="13"/>
        <v>5526.1120000000001</v>
      </c>
      <c r="AL13" s="8">
        <f t="shared" si="14"/>
        <v>2938.3652853480817</v>
      </c>
    </row>
    <row r="14" spans="1:38">
      <c r="A14" s="8">
        <v>1784</v>
      </c>
      <c r="B14" s="8">
        <v>211.14612809365329</v>
      </c>
      <c r="C14" s="9">
        <f t="shared" si="15"/>
        <v>4.634190362809254E-2</v>
      </c>
      <c r="D14" s="9">
        <f t="shared" si="22"/>
        <v>7.4439979539364654E-3</v>
      </c>
      <c r="E14" s="8">
        <v>172.58396575042462</v>
      </c>
      <c r="F14" s="9">
        <f t="shared" si="16"/>
        <v>3.4656598427616814E-2</v>
      </c>
      <c r="G14" s="9">
        <f t="shared" si="17"/>
        <v>4.5086706651146113E-2</v>
      </c>
      <c r="H14" s="8">
        <v>264.71460000000002</v>
      </c>
      <c r="I14" s="8">
        <v>8.1440000000000001</v>
      </c>
      <c r="J14" s="8">
        <v>20</v>
      </c>
      <c r="K14" s="8">
        <f t="shared" si="0"/>
        <v>38.562162343228664</v>
      </c>
      <c r="L14" s="8">
        <f t="shared" si="1"/>
        <v>254.29643765677136</v>
      </c>
      <c r="M14" s="8">
        <f>264.7146-100</f>
        <v>164.71460000000002</v>
      </c>
      <c r="N14" s="8">
        <f t="shared" si="2"/>
        <v>18.014623394339537</v>
      </c>
      <c r="O14" s="8">
        <f t="shared" si="3"/>
        <v>154.29643765677136</v>
      </c>
      <c r="P14" s="8">
        <f t="shared" si="4"/>
        <v>2220.8043774870862</v>
      </c>
      <c r="Q14" s="8">
        <f>(1+$Q$3)*(Q15-100.99)</f>
        <v>818.84651792452451</v>
      </c>
      <c r="R14" s="8">
        <f t="shared" si="5"/>
        <v>3039.6508954116107</v>
      </c>
      <c r="S14" s="9">
        <f t="shared" si="18"/>
        <v>3.4470054001992656E-2</v>
      </c>
      <c r="T14" s="9">
        <f t="shared" si="19"/>
        <v>5.6328267107722652E-2</v>
      </c>
      <c r="U14" s="9">
        <f t="shared" si="6"/>
        <v>5.0851017986772544E-2</v>
      </c>
      <c r="V14" s="9">
        <f t="shared" si="7"/>
        <v>5.6777561532129289E-2</v>
      </c>
      <c r="W14" s="9">
        <f t="shared" si="8"/>
        <v>1.8612922234909124E-2</v>
      </c>
      <c r="X14" s="9">
        <f t="shared" si="9"/>
        <v>6.9463940221681675E-2</v>
      </c>
      <c r="Z14" s="8">
        <f t="shared" si="23"/>
        <v>5207.2000000000007</v>
      </c>
      <c r="AA14" s="9">
        <f t="shared" si="11"/>
        <v>0.58373999374166741</v>
      </c>
      <c r="AB14" s="8">
        <v>8.6780000000000008</v>
      </c>
      <c r="AC14" s="9">
        <f t="shared" si="20"/>
        <v>7.747703004718165E-2</v>
      </c>
      <c r="AD14" s="8">
        <v>242.9</v>
      </c>
      <c r="AE14" s="9">
        <f t="shared" si="21"/>
        <v>4.7886108714408904E-2</v>
      </c>
      <c r="AF14" s="9">
        <f t="shared" si="12"/>
        <v>3.5726636475916014E-2</v>
      </c>
      <c r="AI14" s="8">
        <v>1.9021143304620203</v>
      </c>
      <c r="AJ14" s="8">
        <v>1.3412239816946101</v>
      </c>
      <c r="AK14" s="8">
        <f t="shared" si="13"/>
        <v>5790.7359999999999</v>
      </c>
      <c r="AL14" s="8">
        <f t="shared" si="14"/>
        <v>3039.6508954116107</v>
      </c>
    </row>
    <row r="15" spans="1:38">
      <c r="A15" s="8">
        <v>1785</v>
      </c>
      <c r="B15" s="8">
        <v>239.41691625606532</v>
      </c>
      <c r="C15" s="9">
        <f t="shared" si="15"/>
        <v>0.13389205105325264</v>
      </c>
      <c r="D15" s="9">
        <f t="shared" si="22"/>
        <v>8.5844462187536497E-3</v>
      </c>
      <c r="E15" s="8">
        <v>182.16527782732828</v>
      </c>
      <c r="F15" s="9">
        <f t="shared" si="16"/>
        <v>5.5516814874675413E-2</v>
      </c>
      <c r="G15" s="9">
        <f t="shared" si="17"/>
        <v>5.3011180221885112E-2</v>
      </c>
      <c r="H15" s="8">
        <v>101.1656</v>
      </c>
      <c r="I15" s="8">
        <v>8.1440000000000001</v>
      </c>
      <c r="J15" s="8">
        <v>20</v>
      </c>
      <c r="K15" s="8">
        <f t="shared" si="0"/>
        <v>57.251638428737039</v>
      </c>
      <c r="L15" s="8">
        <f t="shared" si="1"/>
        <v>72.057961571262965</v>
      </c>
      <c r="M15" s="8">
        <v>101.1656</v>
      </c>
      <c r="N15" s="8">
        <f t="shared" si="2"/>
        <v>19.848613066868431</v>
      </c>
      <c r="O15" s="8">
        <f t="shared" si="3"/>
        <v>72.05796157126295</v>
      </c>
      <c r="P15" s="8">
        <f t="shared" si="4"/>
        <v>2375.1008151438577</v>
      </c>
      <c r="Q15" s="8">
        <f>(1+$Q$3)*(Q16-0.22)</f>
        <v>902.20968485765604</v>
      </c>
      <c r="R15" s="8">
        <f t="shared" si="5"/>
        <v>3277.3105000015139</v>
      </c>
      <c r="S15" s="9">
        <f t="shared" si="18"/>
        <v>7.8186480213452647E-2</v>
      </c>
      <c r="T15" s="9">
        <f t="shared" si="19"/>
        <v>4.7157263650052905E-2</v>
      </c>
      <c r="U15" s="9">
        <f t="shared" si="6"/>
        <v>4.9527398993896021E-2</v>
      </c>
      <c r="V15" s="9">
        <f t="shared" si="7"/>
        <v>5.5583771457493616E-2</v>
      </c>
      <c r="W15" s="9">
        <f t="shared" si="8"/>
        <v>2.3525464400022476E-2</v>
      </c>
      <c r="X15" s="9">
        <f t="shared" si="9"/>
        <v>7.3052863393918491E-2</v>
      </c>
      <c r="Z15" s="8">
        <f t="shared" si="23"/>
        <v>5329.5000000000009</v>
      </c>
      <c r="AA15" s="9">
        <f t="shared" si="11"/>
        <v>0.61493770522591484</v>
      </c>
      <c r="AB15" s="8">
        <v>9.2289999999999992</v>
      </c>
      <c r="AC15" s="9">
        <f t="shared" si="20"/>
        <v>6.3493892601981905E-2</v>
      </c>
      <c r="AD15" s="8">
        <v>245.05</v>
      </c>
      <c r="AE15" s="9">
        <f t="shared" si="21"/>
        <v>8.8513791683819676E-3</v>
      </c>
      <c r="AF15" s="9">
        <f t="shared" si="12"/>
        <v>3.7661701693531925E-2</v>
      </c>
      <c r="AI15" s="8">
        <v>1.918950665622553</v>
      </c>
      <c r="AJ15" s="8">
        <v>1.4471839175545207</v>
      </c>
      <c r="AK15" s="8">
        <f t="shared" si="13"/>
        <v>5841.9920000000002</v>
      </c>
      <c r="AL15" s="8">
        <f t="shared" si="14"/>
        <v>3277.3105000015139</v>
      </c>
    </row>
    <row r="16" spans="1:38">
      <c r="A16" s="8">
        <v>1786</v>
      </c>
      <c r="B16" s="8">
        <v>241.94579463678301</v>
      </c>
      <c r="C16" s="9">
        <f t="shared" si="15"/>
        <v>1.056265538903256E-2</v>
      </c>
      <c r="D16" s="9">
        <f t="shared" si="22"/>
        <v>6.8313916274946873E-3</v>
      </c>
      <c r="E16" s="8">
        <v>191.36563456774323</v>
      </c>
      <c r="F16" s="9">
        <f t="shared" si="16"/>
        <v>5.0505545569094812E-2</v>
      </c>
      <c r="G16" s="9">
        <f t="shared" si="17"/>
        <v>7.819378986786818E-2</v>
      </c>
      <c r="H16" s="8">
        <v>148.57480000000001</v>
      </c>
      <c r="I16" s="8">
        <v>8.1440000000000001</v>
      </c>
      <c r="J16" s="8">
        <v>19</v>
      </c>
      <c r="K16" s="8">
        <f t="shared" si="0"/>
        <v>50.580160069039778</v>
      </c>
      <c r="L16" s="8">
        <f t="shared" si="1"/>
        <v>125.13863993096024</v>
      </c>
      <c r="M16" s="8">
        <f>148.5748-52.585-36.739</f>
        <v>59.250800000000005</v>
      </c>
      <c r="N16" s="8">
        <f t="shared" si="2"/>
        <v>19.426183509655999</v>
      </c>
      <c r="O16" s="8">
        <f t="shared" si="3"/>
        <v>35.814639930960226</v>
      </c>
      <c r="P16" s="8">
        <f t="shared" si="4"/>
        <v>2447.1587767151209</v>
      </c>
      <c r="Q16" s="8">
        <f>(1+$Q$3)*(Q17-103.524)</f>
        <v>883.00834134800004</v>
      </c>
      <c r="R16" s="8">
        <f t="shared" si="5"/>
        <v>3330.1671180631211</v>
      </c>
      <c r="S16" s="9">
        <f t="shared" si="18"/>
        <v>1.6128047086653163E-2</v>
      </c>
      <c r="T16" s="9">
        <f t="shared" si="19"/>
        <v>2.6130779402255722E-2</v>
      </c>
      <c r="U16" s="9">
        <f t="shared" si="6"/>
        <v>5.1630877659404072E-2</v>
      </c>
      <c r="V16" s="9">
        <f t="shared" si="7"/>
        <v>5.7464273648538268E-2</v>
      </c>
      <c r="W16" s="9">
        <f t="shared" si="8"/>
        <v>2.1021871004303409E-2</v>
      </c>
      <c r="X16" s="9">
        <f t="shared" si="9"/>
        <v>7.2652748663707481E-2</v>
      </c>
      <c r="Z16" s="8">
        <f t="shared" si="23"/>
        <v>5451.8000000000011</v>
      </c>
      <c r="AA16" s="9">
        <f t="shared" si="11"/>
        <v>0.61083809348529305</v>
      </c>
      <c r="AB16" s="8">
        <v>9.4809999999999999</v>
      </c>
      <c r="AC16" s="9">
        <f t="shared" si="20"/>
        <v>2.7305233503088111E-2</v>
      </c>
      <c r="AD16" s="8">
        <v>246.2</v>
      </c>
      <c r="AE16" s="9">
        <f t="shared" si="21"/>
        <v>4.6929198122831473E-3</v>
      </c>
      <c r="AF16" s="9">
        <f t="shared" si="12"/>
        <v>3.8509341998375309E-2</v>
      </c>
      <c r="AI16" s="8">
        <v>1.9279561472200468</v>
      </c>
      <c r="AJ16" s="8">
        <v>1.4719251437957024</v>
      </c>
      <c r="AK16" s="8">
        <f t="shared" si="13"/>
        <v>5869.4079999999994</v>
      </c>
      <c r="AL16" s="8">
        <f t="shared" si="14"/>
        <v>3330.1671180631211</v>
      </c>
    </row>
    <row r="17" spans="1:38">
      <c r="A17" s="8">
        <v>1787</v>
      </c>
      <c r="B17" s="8">
        <v>260.89293387144767</v>
      </c>
      <c r="C17" s="9">
        <f t="shared" si="15"/>
        <v>7.831150470339332E-2</v>
      </c>
      <c r="D17" s="9">
        <f t="shared" si="22"/>
        <v>4.3044203400677272E-3</v>
      </c>
      <c r="E17" s="8">
        <v>211.62781722536607</v>
      </c>
      <c r="F17" s="9">
        <f t="shared" si="16"/>
        <v>0.10588203416664155</v>
      </c>
      <c r="G17" s="9">
        <f t="shared" si="17"/>
        <v>4.8911033232497236E-2</v>
      </c>
      <c r="H17" s="8">
        <v>303.79469999999998</v>
      </c>
      <c r="I17" s="8">
        <v>8.1440000000000001</v>
      </c>
      <c r="J17" s="8">
        <v>-15</v>
      </c>
      <c r="K17" s="8">
        <f t="shared" si="0"/>
        <v>49.265116646081594</v>
      </c>
      <c r="L17" s="8">
        <f t="shared" si="1"/>
        <v>247.67358335391839</v>
      </c>
      <c r="M17" s="8">
        <f>303.7947-120-67.403</f>
        <v>116.39169999999997</v>
      </c>
      <c r="N17" s="8">
        <f t="shared" si="2"/>
        <v>21.285535348</v>
      </c>
      <c r="O17" s="8">
        <f t="shared" si="3"/>
        <v>60.270583353918383</v>
      </c>
      <c r="P17" s="8">
        <f t="shared" si="4"/>
        <v>2482.9734166460812</v>
      </c>
      <c r="Q17" s="8">
        <f>(1+$Q$3)*(Q18-76.103)</f>
        <v>967.52433400000007</v>
      </c>
      <c r="R17" s="8">
        <f t="shared" si="5"/>
        <v>3450.4977506460814</v>
      </c>
      <c r="S17" s="9">
        <f t="shared" si="18"/>
        <v>3.613351171785828E-2</v>
      </c>
      <c r="T17" s="9">
        <f t="shared" si="19"/>
        <v>3.4810173432854974E-2</v>
      </c>
      <c r="U17" s="9">
        <f t="shared" si="6"/>
        <v>5.5163717130876505E-2</v>
      </c>
      <c r="V17" s="9">
        <f t="shared" si="7"/>
        <v>6.1332547510207842E-2</v>
      </c>
      <c r="W17" s="9">
        <f t="shared" si="8"/>
        <v>2.0446514414006349E-2</v>
      </c>
      <c r="X17" s="9">
        <f t="shared" si="9"/>
        <v>7.5610231544882847E-2</v>
      </c>
      <c r="Z17" s="8">
        <f t="shared" si="23"/>
        <v>5574.1000000000013</v>
      </c>
      <c r="AA17" s="9">
        <f t="shared" si="11"/>
        <v>0.61902329535639489</v>
      </c>
      <c r="AB17" s="8">
        <v>9.2919999999999998</v>
      </c>
      <c r="AC17" s="9">
        <f t="shared" si="20"/>
        <v>-1.993460605421371E-2</v>
      </c>
      <c r="AD17" s="8">
        <v>245.8</v>
      </c>
      <c r="AE17" s="9">
        <f t="shared" si="21"/>
        <v>-1.6246953696180677E-3</v>
      </c>
      <c r="AF17" s="9">
        <f t="shared" si="12"/>
        <v>3.7803091944670464E-2</v>
      </c>
      <c r="AI17" s="8">
        <v>1.9248238057948317</v>
      </c>
      <c r="AJ17" s="8">
        <v>1.5267864021495914</v>
      </c>
      <c r="AK17" s="8">
        <f t="shared" si="13"/>
        <v>5859.8720000000003</v>
      </c>
      <c r="AL17" s="8">
        <f t="shared" si="14"/>
        <v>3450.4977506460814</v>
      </c>
    </row>
    <row r="18" spans="1:38">
      <c r="A18" s="8">
        <v>1788</v>
      </c>
      <c r="B18" s="8">
        <v>271.53700144951767</v>
      </c>
      <c r="C18" s="9">
        <f t="shared" si="15"/>
        <v>4.0798604316798937E-2</v>
      </c>
      <c r="D18" s="9">
        <f t="shared" si="22"/>
        <v>5.7859092568794956E-3</v>
      </c>
      <c r="E18" s="8">
        <v>209.92210385375955</v>
      </c>
      <c r="F18" s="9">
        <f t="shared" si="16"/>
        <v>-8.059967701647075E-3</v>
      </c>
      <c r="G18" s="9">
        <f t="shared" si="17"/>
        <v>1.7700371463132081E-2</v>
      </c>
      <c r="H18" s="8">
        <f>43.2206+33.6+15.067</f>
        <v>91.887599999999992</v>
      </c>
      <c r="J18" s="8">
        <v>22</v>
      </c>
      <c r="K18" s="8">
        <f t="shared" si="0"/>
        <v>61.614897595758123</v>
      </c>
      <c r="L18" s="8">
        <f t="shared" si="1"/>
        <v>52.272702404241869</v>
      </c>
      <c r="M18" s="8">
        <f>43.2206-4+33.6</f>
        <v>72.820599999999999</v>
      </c>
      <c r="N18" s="8">
        <f t="shared" si="2"/>
        <v>22.501599999999996</v>
      </c>
      <c r="O18" s="8">
        <f t="shared" si="3"/>
        <v>33.205702404241876</v>
      </c>
      <c r="P18" s="8">
        <f>3686.044-1022.8-120</f>
        <v>2543.2439999999997</v>
      </c>
      <c r="Q18" s="8">
        <v>1022.8</v>
      </c>
      <c r="R18" s="8">
        <f t="shared" si="5"/>
        <v>3566.0439999999999</v>
      </c>
      <c r="S18" s="9">
        <f t="shared" si="18"/>
        <v>3.3486835147851668E-2</v>
      </c>
      <c r="T18" s="9">
        <f t="shared" si="19"/>
        <v>3.5973522480575504E-2</v>
      </c>
      <c r="U18" s="9">
        <f t="shared" si="6"/>
        <v>5.2556980186940924E-2</v>
      </c>
      <c r="V18" s="9">
        <f t="shared" si="7"/>
        <v>5.8866941589548409E-2</v>
      </c>
      <c r="W18" s="9">
        <f t="shared" si="8"/>
        <v>2.3588182758193146E-2</v>
      </c>
      <c r="X18" s="9">
        <f t="shared" si="9"/>
        <v>7.6145162945134071E-2</v>
      </c>
      <c r="Z18" s="8">
        <f t="shared" si="23"/>
        <v>5696.4000000000015</v>
      </c>
      <c r="AA18" s="9">
        <f t="shared" si="11"/>
        <v>0.62601713362825628</v>
      </c>
      <c r="AB18" s="8">
        <v>9.407</v>
      </c>
      <c r="AC18" s="9">
        <f t="shared" si="20"/>
        <v>1.2376237623762387E-2</v>
      </c>
      <c r="AD18" s="8">
        <v>245.1</v>
      </c>
      <c r="AE18" s="9">
        <f t="shared" si="21"/>
        <v>-2.847843775427239E-3</v>
      </c>
      <c r="AF18" s="9">
        <f t="shared" si="12"/>
        <v>3.8380252957976334E-2</v>
      </c>
      <c r="AI18" s="8">
        <v>1.9193422083007048</v>
      </c>
      <c r="AJ18" s="8">
        <v>1.5796223384232122</v>
      </c>
      <c r="AK18" s="8">
        <f t="shared" si="13"/>
        <v>5843.1840000000002</v>
      </c>
      <c r="AL18" s="8">
        <f t="shared" si="14"/>
        <v>3566.0439999999999</v>
      </c>
    </row>
    <row r="19" spans="1:38">
      <c r="A19" s="8">
        <v>1789</v>
      </c>
      <c r="B19" s="8">
        <v>282.27027848184741</v>
      </c>
      <c r="C19" s="9">
        <f t="shared" si="15"/>
        <v>3.9527861672749687E-2</v>
      </c>
      <c r="D19" s="9">
        <f t="shared" si="22"/>
        <v>3.9455100195546766E-3</v>
      </c>
      <c r="E19" s="8">
        <v>219.04546766375012</v>
      </c>
      <c r="F19" s="9">
        <f t="shared" si="16"/>
        <v>4.3460710627911237E-2</v>
      </c>
      <c r="G19" s="9">
        <f>F19</f>
        <v>4.3460710627911237E-2</v>
      </c>
      <c r="H19" s="8">
        <f>56.4+32.151+63.776</f>
        <v>152.327</v>
      </c>
      <c r="J19" s="8">
        <f>220.772-159.068</f>
        <v>61.703999999999979</v>
      </c>
      <c r="K19" s="8">
        <f t="shared" si="0"/>
        <v>63.224810818097296</v>
      </c>
      <c r="L19" s="8">
        <f t="shared" si="1"/>
        <v>150.80618918190268</v>
      </c>
      <c r="M19" s="8">
        <f>H19</f>
        <v>152.327</v>
      </c>
      <c r="N19" s="8">
        <f t="shared" si="2"/>
        <v>24.788392156862738</v>
      </c>
      <c r="O19" s="8">
        <f t="shared" si="3"/>
        <v>150.80618918190268</v>
      </c>
      <c r="P19" s="8">
        <f>P18+O18</f>
        <v>2576.4497024042416</v>
      </c>
      <c r="Q19" s="8">
        <f>Q18/1.02+124</f>
        <v>1126.7450980392155</v>
      </c>
      <c r="R19" s="8">
        <f t="shared" si="5"/>
        <v>3703.1948004434571</v>
      </c>
      <c r="S19" s="9">
        <f t="shared" si="18"/>
        <v>3.846020981329934E-2</v>
      </c>
      <c r="T19" s="9">
        <f t="shared" si="19"/>
        <v>3.6768889305827779E-2</v>
      </c>
      <c r="U19" s="9">
        <f t="shared" si="6"/>
        <v>5.2456618129736281E-2</v>
      </c>
      <c r="V19" s="9">
        <f t="shared" si="7"/>
        <v>5.9150403764209068E-2</v>
      </c>
      <c r="W19" s="9">
        <f t="shared" si="8"/>
        <v>2.3766830457965772E-2</v>
      </c>
      <c r="X19" s="9">
        <f t="shared" si="9"/>
        <v>7.6223448587702053E-2</v>
      </c>
      <c r="Z19" s="8">
        <f t="shared" si="23"/>
        <v>5818.7000000000016</v>
      </c>
      <c r="AA19" s="9">
        <f t="shared" si="11"/>
        <v>0.63642992428608725</v>
      </c>
      <c r="AB19" s="8">
        <v>9.4250000000000007</v>
      </c>
      <c r="AC19" s="9">
        <f t="shared" si="20"/>
        <v>1.9134686935262657E-3</v>
      </c>
      <c r="AD19" s="8">
        <v>244.3</v>
      </c>
      <c r="AE19" s="9">
        <f t="shared" si="21"/>
        <v>-3.2639738882088709E-3</v>
      </c>
      <c r="AF19" s="9">
        <f t="shared" si="12"/>
        <v>3.8579615227179696E-2</v>
      </c>
      <c r="AI19" s="8">
        <v>1.9130775254502741</v>
      </c>
      <c r="AJ19" s="8">
        <v>1.6242599837919383</v>
      </c>
      <c r="AK19" s="8">
        <f t="shared" si="13"/>
        <v>5824.1120000000001</v>
      </c>
      <c r="AL19" s="8">
        <f t="shared" si="14"/>
        <v>3703.1948004434571</v>
      </c>
    </row>
    <row r="20" spans="1:38">
      <c r="A20" s="8">
        <v>1790</v>
      </c>
      <c r="B20" s="8">
        <v>282.2504234966745</v>
      </c>
      <c r="C20" s="9">
        <f t="shared" si="15"/>
        <v>-7.0340332250728999E-5</v>
      </c>
      <c r="D20" s="9">
        <f t="shared" si="22"/>
        <v>1.9366873664647954E-3</v>
      </c>
      <c r="E20" s="8">
        <v>219.5449387025815</v>
      </c>
      <c r="F20" s="9">
        <f t="shared" si="16"/>
        <v>2.2802162681498928E-3</v>
      </c>
      <c r="K20" s="8">
        <f t="shared" si="0"/>
        <v>62.705484794092996</v>
      </c>
      <c r="L20" s="8">
        <f t="shared" si="1"/>
        <v>-62.705484794092996</v>
      </c>
      <c r="N20" s="8">
        <f>Q20-Q21</f>
        <v>19.733321027872307</v>
      </c>
      <c r="O20" s="8">
        <f t="shared" si="3"/>
        <v>-62.705484794092996</v>
      </c>
      <c r="P20" s="8">
        <f>P19+O19</f>
        <v>2727.2558915861441</v>
      </c>
      <c r="Q20" s="8">
        <v>1105.8379792435828</v>
      </c>
      <c r="R20" s="8">
        <f t="shared" si="5"/>
        <v>3833.0938708297272</v>
      </c>
      <c r="S20" s="9">
        <f t="shared" si="18"/>
        <v>3.5077568798356218E-2</v>
      </c>
      <c r="T20" s="9">
        <f>S20</f>
        <v>3.5077568798356218E-2</v>
      </c>
      <c r="U20" s="9">
        <f t="shared" si="6"/>
        <v>5.2128026186704673E-2</v>
      </c>
      <c r="V20" s="9">
        <f t="shared" si="7"/>
        <v>5.7276170660296902E-2</v>
      </c>
      <c r="W20" s="9">
        <f t="shared" si="8"/>
        <v>2.1507118948829777E-2</v>
      </c>
      <c r="X20" s="9">
        <f t="shared" si="9"/>
        <v>7.3635145135534444E-2</v>
      </c>
      <c r="Z20" s="8">
        <f t="shared" si="23"/>
        <v>5941.0000000000018</v>
      </c>
      <c r="AB20" s="8">
        <v>9.3699999999999992</v>
      </c>
      <c r="AC20" s="9">
        <f t="shared" si="20"/>
        <v>-5.8355437665783549E-3</v>
      </c>
      <c r="AD20" s="8">
        <v>244</v>
      </c>
      <c r="AE20" s="9">
        <f t="shared" si="21"/>
        <v>-1.2279983626688473E-3</v>
      </c>
      <c r="AF20" s="9">
        <f t="shared" si="12"/>
        <v>3.8401639344262294E-2</v>
      </c>
      <c r="AI20" s="8">
        <f>AD20/AD$4</f>
        <v>1.9107282693813625</v>
      </c>
      <c r="AJ20" s="8">
        <f>R20/R$4</f>
        <v>1.6774785896810485</v>
      </c>
      <c r="AK20" s="8">
        <f t="shared" si="13"/>
        <v>5816.96</v>
      </c>
      <c r="AL20" s="8">
        <f t="shared" si="14"/>
        <v>3833.0938708297272</v>
      </c>
    </row>
    <row r="21" spans="1:38">
      <c r="A21" s="8">
        <v>1791</v>
      </c>
      <c r="Q21" s="8">
        <v>1086.1046582157105</v>
      </c>
      <c r="AB21" s="8">
        <v>9.43</v>
      </c>
      <c r="AC21" s="9">
        <f t="shared" si="20"/>
        <v>6.4034151547491813E-3</v>
      </c>
      <c r="AD21" s="8">
        <v>243.2</v>
      </c>
      <c r="AE21" s="9">
        <f t="shared" si="21"/>
        <v>-3.2786885245902342E-3</v>
      </c>
      <c r="AF21" s="9">
        <f t="shared" si="12"/>
        <v>3.8774671052631576E-2</v>
      </c>
    </row>
    <row r="22" spans="1:38">
      <c r="A22" s="8">
        <v>1792</v>
      </c>
      <c r="AB22" s="8">
        <v>9.31</v>
      </c>
      <c r="AC22" s="9">
        <f t="shared" si="20"/>
        <v>-1.2725344644750725E-2</v>
      </c>
      <c r="AD22" s="8">
        <v>241.6</v>
      </c>
      <c r="AE22" s="9">
        <f t="shared" si="21"/>
        <v>-6.5789473684210176E-3</v>
      </c>
      <c r="AF22" s="9">
        <f t="shared" si="12"/>
        <v>3.8534768211920534E-2</v>
      </c>
    </row>
    <row r="23" spans="1:38">
      <c r="A23" s="8">
        <v>1793</v>
      </c>
      <c r="AB23" s="8">
        <v>9.1489999999999991</v>
      </c>
      <c r="AC23" s="9">
        <f t="shared" si="20"/>
        <v>-1.7293233082706916E-2</v>
      </c>
      <c r="AD23" s="8">
        <v>242.9</v>
      </c>
      <c r="AE23" s="9">
        <f t="shared" si="21"/>
        <v>5.3807947019868241E-3</v>
      </c>
      <c r="AF23" s="9">
        <f t="shared" si="12"/>
        <v>3.7665706051873193E-2</v>
      </c>
    </row>
    <row r="24" spans="1:38">
      <c r="A24" s="8">
        <v>1794</v>
      </c>
      <c r="AB24" s="8">
        <v>9.7970000000000006</v>
      </c>
      <c r="AC24" s="9">
        <f t="shared" si="20"/>
        <v>7.0827412832003667E-2</v>
      </c>
      <c r="AD24" s="8">
        <v>249.6</v>
      </c>
      <c r="AE24" s="9">
        <f t="shared" si="21"/>
        <v>2.7583367641004441E-2</v>
      </c>
      <c r="AF24" s="9">
        <f t="shared" si="12"/>
        <v>3.9250801282051287E-2</v>
      </c>
    </row>
    <row r="25" spans="1:38">
      <c r="A25" s="8">
        <v>1795</v>
      </c>
      <c r="AB25" s="8">
        <v>10.47</v>
      </c>
      <c r="AC25" s="9">
        <f t="shared" si="20"/>
        <v>6.869449831581087E-2</v>
      </c>
      <c r="AD25" s="8">
        <v>267.39999999999998</v>
      </c>
      <c r="AE25" s="9">
        <f t="shared" si="21"/>
        <v>7.1314102564102422E-2</v>
      </c>
      <c r="AF25" s="9">
        <f t="shared" si="12"/>
        <v>3.9154824233358268E-2</v>
      </c>
    </row>
    <row r="26" spans="1:38">
      <c r="A26" s="8">
        <v>1796</v>
      </c>
      <c r="AB26" s="8">
        <v>11.602</v>
      </c>
      <c r="AC26" s="9">
        <f t="shared" si="20"/>
        <v>0.10811843361986617</v>
      </c>
      <c r="AD26" s="8">
        <v>310.39999999999998</v>
      </c>
      <c r="AE26" s="9">
        <f t="shared" si="21"/>
        <v>0.16080777860882578</v>
      </c>
      <c r="AF26" s="9">
        <f t="shared" si="12"/>
        <v>3.7377577319587629E-2</v>
      </c>
    </row>
    <row r="27" spans="1:38">
      <c r="A27" s="8">
        <v>1797</v>
      </c>
      <c r="AB27" s="8">
        <v>13.593999999999999</v>
      </c>
      <c r="AC27" s="9">
        <f t="shared" si="20"/>
        <v>0.17169453542492663</v>
      </c>
      <c r="AD27" s="8">
        <v>359.2</v>
      </c>
      <c r="AE27" s="9">
        <f t="shared" si="21"/>
        <v>0.15721649484536093</v>
      </c>
      <c r="AF27" s="9">
        <f t="shared" si="12"/>
        <v>3.7845211581291761E-2</v>
      </c>
    </row>
    <row r="28" spans="1:38">
      <c r="A28" s="8">
        <v>1798</v>
      </c>
      <c r="AB28" s="8">
        <v>16.029</v>
      </c>
      <c r="AC28" s="9">
        <f t="shared" si="20"/>
        <v>0.17912314256289541</v>
      </c>
      <c r="AD28" s="8">
        <v>391.2</v>
      </c>
      <c r="AE28" s="9">
        <f t="shared" si="21"/>
        <v>8.9086859688195963E-2</v>
      </c>
      <c r="AF28" s="9">
        <f t="shared" si="12"/>
        <v>4.0973926380368099E-2</v>
      </c>
    </row>
    <row r="29" spans="1:38">
      <c r="A29" s="8">
        <v>1799</v>
      </c>
      <c r="AB29" s="8">
        <v>16.856000000000002</v>
      </c>
      <c r="AC29" s="9">
        <f t="shared" si="20"/>
        <v>5.1593985900555417E-2</v>
      </c>
      <c r="AD29" s="8">
        <v>426.6</v>
      </c>
      <c r="AE29" s="9">
        <f t="shared" si="21"/>
        <v>9.0490797546012303E-2</v>
      </c>
      <c r="AF29" s="9">
        <f t="shared" si="12"/>
        <v>3.9512423816221283E-2</v>
      </c>
    </row>
    <row r="30" spans="1:38">
      <c r="A30" s="8">
        <v>1800</v>
      </c>
      <c r="AB30" s="8">
        <v>3.387</v>
      </c>
      <c r="AC30" s="9">
        <f t="shared" si="20"/>
        <v>-0.79906264831514007</v>
      </c>
    </row>
    <row r="31" spans="1:38">
      <c r="A31" s="8">
        <v>1801</v>
      </c>
      <c r="AB31" s="8">
        <v>16.748999999999999</v>
      </c>
      <c r="AC31" s="9">
        <f t="shared" si="20"/>
        <v>3.9450841452612924</v>
      </c>
      <c r="AD31" s="8">
        <v>456.1</v>
      </c>
      <c r="AF31" s="9">
        <f t="shared" ref="AF31:AF61" si="24">AB31/AD31</f>
        <v>3.672221004165753E-2</v>
      </c>
    </row>
    <row r="32" spans="1:38">
      <c r="A32" s="8">
        <v>1802</v>
      </c>
      <c r="AB32" s="8">
        <v>19.899999999999999</v>
      </c>
      <c r="AC32" s="9">
        <f t="shared" si="20"/>
        <v>0.18813063466475621</v>
      </c>
      <c r="AD32" s="8">
        <v>498.6</v>
      </c>
      <c r="AF32" s="9">
        <f t="shared" si="24"/>
        <v>3.9911752908142792E-2</v>
      </c>
    </row>
    <row r="33" spans="1:32">
      <c r="A33" s="8">
        <v>1803</v>
      </c>
      <c r="AB33" s="8">
        <v>20.399999999999999</v>
      </c>
      <c r="AC33" s="9">
        <f t="shared" si="20"/>
        <v>2.5125628140703515E-2</v>
      </c>
      <c r="AD33" s="8">
        <v>516.4</v>
      </c>
      <c r="AF33" s="9">
        <f t="shared" si="24"/>
        <v>3.9504260263361735E-2</v>
      </c>
    </row>
    <row r="34" spans="1:32">
      <c r="A34" s="8">
        <v>1804</v>
      </c>
      <c r="AB34" s="8">
        <v>20.7</v>
      </c>
      <c r="AC34" s="9">
        <f t="shared" si="20"/>
        <v>1.4705882352941124E-2</v>
      </c>
      <c r="AD34" s="8">
        <v>523.79999999999995</v>
      </c>
      <c r="AF34" s="9">
        <f t="shared" si="24"/>
        <v>3.9518900343642617E-2</v>
      </c>
    </row>
    <row r="35" spans="1:32">
      <c r="A35" s="8">
        <v>1805</v>
      </c>
      <c r="AB35" s="8">
        <v>20.7</v>
      </c>
      <c r="AC35" s="9">
        <f t="shared" si="20"/>
        <v>0</v>
      </c>
      <c r="AD35" s="8">
        <v>539.6</v>
      </c>
      <c r="AF35" s="9">
        <f t="shared" si="24"/>
        <v>3.8361749444032617E-2</v>
      </c>
    </row>
    <row r="36" spans="1:32">
      <c r="A36" s="8">
        <v>1806</v>
      </c>
      <c r="AB36" s="8">
        <v>22.3</v>
      </c>
      <c r="AC36" s="9">
        <f t="shared" si="20"/>
        <v>7.7294685990338285E-2</v>
      </c>
      <c r="AD36" s="8">
        <v>564.4</v>
      </c>
      <c r="AF36" s="9">
        <f t="shared" si="24"/>
        <v>3.9510985116938346E-2</v>
      </c>
    </row>
    <row r="37" spans="1:32">
      <c r="A37" s="8">
        <v>1807</v>
      </c>
      <c r="AB37" s="8">
        <v>23.2</v>
      </c>
      <c r="AC37" s="9">
        <f t="shared" ref="AC37:AC61" si="25">AB37/AB36-1</f>
        <v>4.0358744394618729E-2</v>
      </c>
      <c r="AD37" s="8">
        <v>583.1</v>
      </c>
      <c r="AF37" s="9">
        <f t="shared" si="24"/>
        <v>3.9787343508832104E-2</v>
      </c>
    </row>
    <row r="38" spans="1:32">
      <c r="A38" s="8">
        <v>1808</v>
      </c>
      <c r="AB38" s="8">
        <v>23.8</v>
      </c>
      <c r="AC38" s="9">
        <f t="shared" si="25"/>
        <v>2.5862068965517349E-2</v>
      </c>
      <c r="AD38" s="8">
        <v>591.29999999999995</v>
      </c>
      <c r="AF38" s="9">
        <f t="shared" si="24"/>
        <v>4.025029595805852E-2</v>
      </c>
    </row>
    <row r="39" spans="1:32">
      <c r="A39" s="8">
        <v>1809</v>
      </c>
      <c r="AB39" s="8">
        <v>23.1</v>
      </c>
      <c r="AC39" s="9">
        <f t="shared" si="25"/>
        <v>-2.9411764705882359E-2</v>
      </c>
      <c r="AD39" s="8">
        <v>599</v>
      </c>
      <c r="AF39" s="9">
        <f t="shared" si="24"/>
        <v>3.8564273789649418E-2</v>
      </c>
    </row>
    <row r="40" spans="1:32">
      <c r="A40" s="8">
        <v>1810</v>
      </c>
      <c r="AB40" s="8">
        <v>24.2</v>
      </c>
      <c r="AC40" s="9">
        <f t="shared" si="25"/>
        <v>4.761904761904745E-2</v>
      </c>
      <c r="AD40" s="8">
        <v>607.4</v>
      </c>
      <c r="AF40" s="9">
        <f t="shared" si="24"/>
        <v>3.9841949292064541E-2</v>
      </c>
    </row>
    <row r="41" spans="1:32">
      <c r="A41" s="8">
        <v>1811</v>
      </c>
      <c r="AB41" s="8">
        <v>24.4</v>
      </c>
      <c r="AC41" s="9">
        <f t="shared" si="25"/>
        <v>8.2644628099173278E-3</v>
      </c>
      <c r="AD41" s="8">
        <v>609.6</v>
      </c>
      <c r="AF41" s="9">
        <f t="shared" si="24"/>
        <v>4.0026246719160101E-2</v>
      </c>
    </row>
    <row r="42" spans="1:32">
      <c r="A42" s="8">
        <v>1812</v>
      </c>
      <c r="AB42" s="8">
        <v>24.6</v>
      </c>
      <c r="AC42" s="9">
        <f t="shared" si="25"/>
        <v>8.19672131147553E-3</v>
      </c>
      <c r="AD42" s="8">
        <v>626</v>
      </c>
      <c r="AF42" s="9">
        <f t="shared" si="24"/>
        <v>3.9297124600638979E-2</v>
      </c>
    </row>
    <row r="43" spans="1:32">
      <c r="A43" s="8">
        <v>1813</v>
      </c>
      <c r="AB43" s="8">
        <v>26.4</v>
      </c>
      <c r="AC43" s="9">
        <f t="shared" si="25"/>
        <v>7.3170731707316916E-2</v>
      </c>
      <c r="AD43" s="8">
        <v>652.29999999999995</v>
      </c>
      <c r="AF43" s="9">
        <f t="shared" si="24"/>
        <v>4.0472175379426642E-2</v>
      </c>
    </row>
    <row r="44" spans="1:32">
      <c r="A44" s="8">
        <v>1814</v>
      </c>
      <c r="AB44" s="8">
        <v>27.3</v>
      </c>
      <c r="AC44" s="9">
        <f t="shared" si="25"/>
        <v>3.4090909090909172E-2</v>
      </c>
      <c r="AD44" s="8">
        <v>725.5</v>
      </c>
      <c r="AF44" s="9">
        <f t="shared" si="24"/>
        <v>3.762922122674018E-2</v>
      </c>
    </row>
    <row r="45" spans="1:32">
      <c r="A45" s="8">
        <v>1815</v>
      </c>
      <c r="AB45" s="8">
        <v>30</v>
      </c>
      <c r="AC45" s="9">
        <f t="shared" si="25"/>
        <v>9.8901098901098772E-2</v>
      </c>
      <c r="AD45" s="8">
        <v>744.9</v>
      </c>
      <c r="AF45" s="9">
        <f t="shared" si="24"/>
        <v>4.027386226339106E-2</v>
      </c>
    </row>
    <row r="46" spans="1:32">
      <c r="A46" s="8">
        <v>1816</v>
      </c>
      <c r="AB46" s="8">
        <v>32.200000000000003</v>
      </c>
      <c r="AC46" s="9">
        <f t="shared" si="25"/>
        <v>7.3333333333333472E-2</v>
      </c>
      <c r="AD46" s="8">
        <v>778.3</v>
      </c>
      <c r="AF46" s="9">
        <f t="shared" si="24"/>
        <v>4.1372221508415782E-2</v>
      </c>
    </row>
    <row r="47" spans="1:32">
      <c r="A47" s="8">
        <v>1817</v>
      </c>
      <c r="AB47" s="8">
        <v>32.9</v>
      </c>
      <c r="AC47" s="9">
        <f t="shared" si="25"/>
        <v>2.1739130434782483E-2</v>
      </c>
      <c r="AD47" s="8">
        <v>766.1</v>
      </c>
      <c r="AF47" s="9">
        <f t="shared" si="24"/>
        <v>4.2944785276073615E-2</v>
      </c>
    </row>
    <row r="48" spans="1:32">
      <c r="A48" s="8">
        <v>1818</v>
      </c>
      <c r="AB48" s="8">
        <v>31.5</v>
      </c>
      <c r="AC48" s="9">
        <f t="shared" si="25"/>
        <v>-4.2553191489361653E-2</v>
      </c>
      <c r="AD48" s="8">
        <v>843.3</v>
      </c>
      <c r="AF48" s="9">
        <f t="shared" si="24"/>
        <v>3.7353255069370331E-2</v>
      </c>
    </row>
    <row r="49" spans="1:32">
      <c r="A49" s="8">
        <v>1819</v>
      </c>
      <c r="AB49" s="8">
        <v>31.3</v>
      </c>
      <c r="AC49" s="9">
        <f t="shared" si="25"/>
        <v>-6.3492063492063266E-3</v>
      </c>
      <c r="AD49" s="8">
        <v>844.3</v>
      </c>
      <c r="AF49" s="9">
        <f t="shared" si="24"/>
        <v>3.7072130759208816E-2</v>
      </c>
    </row>
    <row r="50" spans="1:32">
      <c r="A50" s="8">
        <v>1820</v>
      </c>
      <c r="AB50" s="8">
        <v>31.1</v>
      </c>
      <c r="AC50" s="9">
        <f t="shared" si="25"/>
        <v>-6.389776357827448E-3</v>
      </c>
      <c r="AD50" s="8">
        <v>840.1</v>
      </c>
      <c r="AF50" s="9">
        <f t="shared" si="24"/>
        <v>3.701940245208904E-2</v>
      </c>
    </row>
    <row r="51" spans="1:32">
      <c r="A51" s="8">
        <v>1821</v>
      </c>
      <c r="AB51" s="8">
        <v>32</v>
      </c>
      <c r="AC51" s="9">
        <f t="shared" si="25"/>
        <v>2.8938906752411508E-2</v>
      </c>
      <c r="AD51" s="8">
        <v>838.3</v>
      </c>
      <c r="AF51" s="9">
        <f t="shared" si="24"/>
        <v>3.8172491947989981E-2</v>
      </c>
    </row>
    <row r="52" spans="1:32">
      <c r="A52" s="8">
        <v>1822</v>
      </c>
      <c r="AB52" s="8">
        <v>31.9</v>
      </c>
      <c r="AC52" s="9">
        <f t="shared" si="25"/>
        <v>-3.1250000000000444E-3</v>
      </c>
      <c r="AD52" s="8">
        <v>831.1</v>
      </c>
      <c r="AF52" s="9">
        <f t="shared" si="24"/>
        <v>3.8382866081097339E-2</v>
      </c>
    </row>
    <row r="53" spans="1:32">
      <c r="A53" s="8">
        <v>1823</v>
      </c>
      <c r="AB53" s="8">
        <v>31.4</v>
      </c>
      <c r="AC53" s="9">
        <f t="shared" si="25"/>
        <v>-1.5673981191222541E-2</v>
      </c>
      <c r="AD53" s="8">
        <v>836.1</v>
      </c>
      <c r="AF53" s="9">
        <f t="shared" si="24"/>
        <v>3.7555316349718933E-2</v>
      </c>
    </row>
    <row r="54" spans="1:32">
      <c r="A54" s="8">
        <v>1824</v>
      </c>
      <c r="AB54" s="8">
        <v>30</v>
      </c>
      <c r="AC54" s="9">
        <f t="shared" si="25"/>
        <v>-4.4585987261146487E-2</v>
      </c>
      <c r="AD54" s="8">
        <v>828.6</v>
      </c>
      <c r="AF54" s="9">
        <f t="shared" si="24"/>
        <v>3.6205648081100654E-2</v>
      </c>
    </row>
    <row r="55" spans="1:32">
      <c r="A55" s="8">
        <v>1825</v>
      </c>
      <c r="AB55" s="8">
        <v>30.2</v>
      </c>
      <c r="AC55" s="9">
        <f t="shared" si="25"/>
        <v>6.6666666666665986E-3</v>
      </c>
      <c r="AD55" s="8">
        <v>820.2</v>
      </c>
      <c r="AF55" s="9">
        <f t="shared" si="24"/>
        <v>3.6820287734698851E-2</v>
      </c>
    </row>
    <row r="56" spans="1:32">
      <c r="A56" s="8">
        <v>1826</v>
      </c>
      <c r="AB56" s="8">
        <v>29.2</v>
      </c>
      <c r="AC56" s="9">
        <f t="shared" si="25"/>
        <v>-3.3112582781456901E-2</v>
      </c>
      <c r="AD56" s="8">
        <v>811</v>
      </c>
      <c r="AF56" s="9">
        <f t="shared" si="24"/>
        <v>3.6004932182490748E-2</v>
      </c>
    </row>
    <row r="57" spans="1:32">
      <c r="A57" s="8">
        <v>1827</v>
      </c>
      <c r="AB57" s="8">
        <v>29.2</v>
      </c>
      <c r="AC57" s="9">
        <f t="shared" si="25"/>
        <v>0</v>
      </c>
      <c r="AD57" s="8">
        <v>810</v>
      </c>
      <c r="AF57" s="9">
        <f t="shared" si="24"/>
        <v>3.6049382716049384E-2</v>
      </c>
    </row>
    <row r="58" spans="1:32">
      <c r="A58" s="8">
        <v>1828</v>
      </c>
      <c r="AB58" s="8">
        <v>29.4</v>
      </c>
      <c r="AC58" s="9">
        <f t="shared" si="25"/>
        <v>6.8493150684931781E-3</v>
      </c>
      <c r="AD58" s="8">
        <v>806.4</v>
      </c>
      <c r="AF58" s="9">
        <f t="shared" si="24"/>
        <v>3.6458333333333336E-2</v>
      </c>
    </row>
    <row r="59" spans="1:32">
      <c r="A59" s="8">
        <v>1829</v>
      </c>
      <c r="AB59" s="8">
        <v>29.3</v>
      </c>
      <c r="AC59" s="9">
        <f t="shared" si="25"/>
        <v>-3.4013605442175798E-3</v>
      </c>
      <c r="AD59" s="8">
        <v>801.3</v>
      </c>
      <c r="AF59" s="9">
        <f t="shared" si="24"/>
        <v>3.6565580930987149E-2</v>
      </c>
    </row>
    <row r="60" spans="1:32">
      <c r="A60" s="8">
        <v>1830</v>
      </c>
      <c r="AB60" s="8">
        <v>29.1</v>
      </c>
      <c r="AC60" s="9">
        <f t="shared" si="25"/>
        <v>-6.8259385665528916E-3</v>
      </c>
      <c r="AD60" s="8">
        <v>798.2</v>
      </c>
      <c r="AF60" s="9">
        <f t="shared" si="24"/>
        <v>3.6457028313705835E-2</v>
      </c>
    </row>
    <row r="61" spans="1:32">
      <c r="A61" s="8">
        <v>1831</v>
      </c>
      <c r="AB61" s="8">
        <v>29.2</v>
      </c>
      <c r="AC61" s="9">
        <f t="shared" si="25"/>
        <v>3.4364261168384758E-3</v>
      </c>
      <c r="AD61" s="8">
        <v>786.2</v>
      </c>
      <c r="AF61" s="9">
        <f t="shared" si="24"/>
        <v>3.7140676672602388E-2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07"/>
  <sheetViews>
    <sheetView workbookViewId="0"/>
  </sheetViews>
  <sheetFormatPr defaultRowHeight="12.75"/>
  <cols>
    <col min="1" max="11" width="9.140625" style="8"/>
    <col min="12" max="16384" width="9.140625" style="7"/>
  </cols>
  <sheetData>
    <row r="1" spans="1:11">
      <c r="A1" s="8" t="s">
        <v>290</v>
      </c>
    </row>
    <row r="2" spans="1:11">
      <c r="B2" s="8" t="s">
        <v>289</v>
      </c>
      <c r="D2" s="8" t="s">
        <v>288</v>
      </c>
      <c r="E2" s="8" t="s">
        <v>287</v>
      </c>
      <c r="H2" s="8" t="s">
        <v>286</v>
      </c>
    </row>
    <row r="3" spans="1:11">
      <c r="A3" s="8" t="s">
        <v>285</v>
      </c>
      <c r="H3" s="8" t="s">
        <v>249</v>
      </c>
      <c r="I3" s="8" t="s">
        <v>284</v>
      </c>
      <c r="J3" s="8" t="s">
        <v>283</v>
      </c>
      <c r="K3" s="8" t="s">
        <v>282</v>
      </c>
    </row>
    <row r="4" spans="1:11">
      <c r="A4" s="8" t="s">
        <v>281</v>
      </c>
      <c r="B4" s="8">
        <v>28.683333333333334</v>
      </c>
      <c r="C4" s="8" t="s">
        <v>281</v>
      </c>
      <c r="D4" s="8">
        <v>28.683333333333334</v>
      </c>
      <c r="E4" s="8">
        <v>1.8940362368601764</v>
      </c>
      <c r="G4" s="8">
        <v>1685</v>
      </c>
      <c r="H4" s="8">
        <v>54.75</v>
      </c>
      <c r="J4" s="8">
        <v>55.264483892935502</v>
      </c>
      <c r="K4" s="8">
        <f>4608/2093*240*3/28.5</f>
        <v>55.61998642090176</v>
      </c>
    </row>
    <row r="5" spans="1:11">
      <c r="A5" s="8">
        <v>1689</v>
      </c>
      <c r="B5" s="8">
        <v>28.683333333333334</v>
      </c>
      <c r="C5" s="8">
        <v>1689</v>
      </c>
      <c r="D5" s="8">
        <v>28.968055555555555</v>
      </c>
      <c r="E5" s="8">
        <v>1.8754200682570055</v>
      </c>
      <c r="G5" s="8">
        <v>2</v>
      </c>
      <c r="H5" s="8">
        <v>54.38</v>
      </c>
      <c r="J5" s="8">
        <v>55.264483892935502</v>
      </c>
      <c r="K5" s="8">
        <v>55.619986420901753</v>
      </c>
    </row>
    <row r="6" spans="1:11">
      <c r="A6" s="8">
        <v>2</v>
      </c>
      <c r="B6" s="8">
        <v>28.683333333333334</v>
      </c>
      <c r="C6" s="8">
        <v>1690</v>
      </c>
      <c r="D6" s="8">
        <v>32.586363636363636</v>
      </c>
      <c r="E6" s="8">
        <v>1.6671781280513323</v>
      </c>
      <c r="G6" s="8">
        <v>3</v>
      </c>
      <c r="H6" s="8">
        <v>54.38</v>
      </c>
      <c r="J6" s="8">
        <v>55.264483892935502</v>
      </c>
      <c r="K6" s="8">
        <v>55.619986420901753</v>
      </c>
    </row>
    <row r="7" spans="1:11">
      <c r="A7" s="8">
        <v>3</v>
      </c>
      <c r="B7" s="8">
        <v>28.683333333333334</v>
      </c>
      <c r="C7" s="8">
        <v>1691</v>
      </c>
      <c r="D7" s="8">
        <v>32.586363636363636</v>
      </c>
      <c r="E7" s="8">
        <v>1.6671781280513323</v>
      </c>
      <c r="G7" s="8">
        <v>4</v>
      </c>
      <c r="H7" s="8">
        <v>54.75</v>
      </c>
      <c r="J7" s="8">
        <v>55.264483892935502</v>
      </c>
      <c r="K7" s="8">
        <v>55.619986420901753</v>
      </c>
    </row>
    <row r="8" spans="1:11">
      <c r="A8" s="8">
        <v>4</v>
      </c>
      <c r="B8" s="8">
        <v>28.683333333333334</v>
      </c>
      <c r="C8" s="8">
        <v>1692</v>
      </c>
      <c r="D8" s="8">
        <v>32.181060606060605</v>
      </c>
      <c r="E8" s="8">
        <v>1.6881753336942962</v>
      </c>
      <c r="G8" s="8">
        <v>5</v>
      </c>
      <c r="H8" s="8">
        <v>54.5</v>
      </c>
      <c r="J8" s="8">
        <v>55.264483892935502</v>
      </c>
      <c r="K8" s="8">
        <v>55.619986420901753</v>
      </c>
    </row>
    <row r="9" spans="1:11">
      <c r="A9" s="8">
        <v>5</v>
      </c>
      <c r="B9" s="8">
        <v>28.683333333333334</v>
      </c>
      <c r="C9" s="8">
        <v>1693</v>
      </c>
      <c r="D9" s="8">
        <v>31.963257575757577</v>
      </c>
      <c r="E9" s="8">
        <v>1.6996788452650415</v>
      </c>
      <c r="G9" s="8">
        <v>6</v>
      </c>
      <c r="H9" s="8">
        <v>54.5</v>
      </c>
      <c r="J9" s="8">
        <v>55.264483892935502</v>
      </c>
      <c r="K9" s="8">
        <v>55.619986420901753</v>
      </c>
    </row>
    <row r="10" spans="1:11">
      <c r="A10" s="8">
        <v>6</v>
      </c>
      <c r="B10" s="8">
        <v>28.683333333333334</v>
      </c>
      <c r="C10" s="8">
        <v>1694</v>
      </c>
      <c r="D10" s="8">
        <v>34.981818181818184</v>
      </c>
      <c r="E10" s="8">
        <v>1.5530145530145529</v>
      </c>
      <c r="G10" s="8">
        <v>7</v>
      </c>
      <c r="H10" s="8">
        <v>54.75</v>
      </c>
      <c r="J10" s="8">
        <v>55.264483892935502</v>
      </c>
      <c r="K10" s="8">
        <v>55.619986420901753</v>
      </c>
    </row>
    <row r="11" spans="1:11">
      <c r="A11" s="8">
        <v>7</v>
      </c>
      <c r="B11" s="8">
        <v>28.683333333333334</v>
      </c>
      <c r="C11" s="8">
        <v>1695</v>
      </c>
      <c r="D11" s="8">
        <v>34.981818181818184</v>
      </c>
      <c r="E11" s="8">
        <v>1.5530145530145529</v>
      </c>
      <c r="G11" s="8">
        <v>8</v>
      </c>
      <c r="H11" s="8">
        <v>54.75</v>
      </c>
      <c r="J11" s="8">
        <v>55.264483892935502</v>
      </c>
      <c r="K11" s="8">
        <v>55.619986420901753</v>
      </c>
    </row>
    <row r="12" spans="1:11">
      <c r="A12" s="8">
        <v>8</v>
      </c>
      <c r="B12" s="8">
        <v>28.683333333333334</v>
      </c>
      <c r="C12" s="8">
        <v>1696</v>
      </c>
      <c r="D12" s="8">
        <v>34.981818181818184</v>
      </c>
      <c r="E12" s="8">
        <v>1.5530145530145529</v>
      </c>
      <c r="G12" s="8">
        <v>9</v>
      </c>
      <c r="H12" s="8">
        <v>54</v>
      </c>
      <c r="J12" s="8">
        <v>55.264483892935502</v>
      </c>
      <c r="K12" s="8">
        <v>55.619986420901753</v>
      </c>
    </row>
    <row r="13" spans="1:11">
      <c r="A13" s="8">
        <v>9</v>
      </c>
      <c r="B13" s="8">
        <v>28.683333333333334</v>
      </c>
      <c r="C13" s="8">
        <v>1697</v>
      </c>
      <c r="D13" s="8">
        <v>34.981818181818184</v>
      </c>
      <c r="E13" s="8">
        <v>1.5530145530145529</v>
      </c>
      <c r="G13" s="8">
        <v>10</v>
      </c>
      <c r="H13" s="8">
        <v>54.62</v>
      </c>
      <c r="J13" s="8">
        <v>55.264483892935502</v>
      </c>
      <c r="K13" s="8">
        <v>55.619986420901753</v>
      </c>
    </row>
    <row r="14" spans="1:11">
      <c r="A14" s="8">
        <v>10</v>
      </c>
      <c r="B14" s="8">
        <v>28.683333333333334</v>
      </c>
      <c r="C14" s="8">
        <v>1698</v>
      </c>
      <c r="D14" s="8">
        <v>34.981818181818184</v>
      </c>
      <c r="E14" s="8">
        <v>1.5530145530145529</v>
      </c>
      <c r="G14" s="8">
        <v>11</v>
      </c>
      <c r="H14" s="8">
        <v>54.06</v>
      </c>
      <c r="J14" s="8">
        <v>55.264483892935502</v>
      </c>
      <c r="K14" s="8">
        <v>55.619986420901753</v>
      </c>
    </row>
    <row r="15" spans="1:11">
      <c r="A15" s="8">
        <v>11</v>
      </c>
      <c r="B15" s="8">
        <v>28.683333333333334</v>
      </c>
      <c r="C15" s="8">
        <v>1699</v>
      </c>
      <c r="D15" s="8">
        <v>34.981818181818184</v>
      </c>
      <c r="E15" s="8">
        <v>1.5530145530145529</v>
      </c>
      <c r="G15" s="8">
        <v>12</v>
      </c>
      <c r="H15" s="8">
        <v>54.06</v>
      </c>
      <c r="J15" s="8">
        <v>55.264483892935502</v>
      </c>
      <c r="K15" s="8">
        <v>55.619986420901753</v>
      </c>
    </row>
    <row r="16" spans="1:11">
      <c r="A16" s="8">
        <v>12</v>
      </c>
      <c r="B16" s="8">
        <v>32.1</v>
      </c>
      <c r="C16" s="8">
        <v>1700</v>
      </c>
      <c r="D16" s="8">
        <v>33.4375</v>
      </c>
      <c r="E16" s="8">
        <v>1.6247408666100256</v>
      </c>
      <c r="G16" s="8">
        <v>1686</v>
      </c>
      <c r="H16" s="8">
        <v>54.12</v>
      </c>
      <c r="J16" s="8">
        <v>55.264483892935502</v>
      </c>
      <c r="K16" s="8">
        <v>55.619986420901753</v>
      </c>
    </row>
    <row r="17" spans="1:11">
      <c r="A17" s="8">
        <v>1690</v>
      </c>
      <c r="B17" s="8">
        <v>32.586363636363636</v>
      </c>
      <c r="C17" s="8">
        <v>1701</v>
      </c>
      <c r="D17" s="8">
        <v>33.417424242424239</v>
      </c>
      <c r="E17" s="8">
        <v>1.6257169413524972</v>
      </c>
      <c r="G17" s="8">
        <v>2</v>
      </c>
      <c r="H17" s="8">
        <v>54</v>
      </c>
      <c r="J17" s="8">
        <v>55.264483892935502</v>
      </c>
      <c r="K17" s="8">
        <v>55.619986420901753</v>
      </c>
    </row>
    <row r="18" spans="1:11">
      <c r="A18" s="8">
        <v>2</v>
      </c>
      <c r="B18" s="8">
        <v>32.586363636363636</v>
      </c>
      <c r="C18" s="8">
        <v>1702</v>
      </c>
      <c r="D18" s="8">
        <v>36.639393939393941</v>
      </c>
      <c r="E18" s="8">
        <v>1.4827557687536184</v>
      </c>
      <c r="G18" s="8">
        <v>3</v>
      </c>
      <c r="H18" s="8">
        <v>54</v>
      </c>
      <c r="J18" s="8">
        <v>55.264483892935502</v>
      </c>
      <c r="K18" s="8">
        <v>55.619986420901753</v>
      </c>
    </row>
    <row r="19" spans="1:11">
      <c r="A19" s="8">
        <v>3</v>
      </c>
      <c r="B19" s="8">
        <v>32.586363636363636</v>
      </c>
      <c r="C19" s="8">
        <v>1703</v>
      </c>
      <c r="D19" s="8">
        <v>34.747727272727275</v>
      </c>
      <c r="E19" s="8">
        <v>1.5634770096147557</v>
      </c>
      <c r="G19" s="8">
        <v>4</v>
      </c>
      <c r="H19" s="8">
        <v>54</v>
      </c>
      <c r="J19" s="8">
        <v>55.264483892935502</v>
      </c>
      <c r="K19" s="8">
        <v>55.619986420901753</v>
      </c>
    </row>
    <row r="20" spans="1:11">
      <c r="A20" s="8">
        <v>4</v>
      </c>
      <c r="B20" s="8">
        <v>32.586363636363636</v>
      </c>
      <c r="C20" s="8">
        <v>1704</v>
      </c>
      <c r="D20" s="8">
        <v>36.839393939393943</v>
      </c>
      <c r="E20" s="8">
        <v>1.4747059307394914</v>
      </c>
      <c r="G20" s="8">
        <v>5</v>
      </c>
      <c r="H20" s="8">
        <v>54.75</v>
      </c>
      <c r="J20" s="8">
        <v>55.264483892935502</v>
      </c>
      <c r="K20" s="8">
        <v>55.619986420901753</v>
      </c>
    </row>
    <row r="21" spans="1:11">
      <c r="A21" s="8">
        <v>5</v>
      </c>
      <c r="B21" s="8">
        <v>32.586363636363636</v>
      </c>
      <c r="C21" s="8">
        <v>1705</v>
      </c>
      <c r="D21" s="8">
        <v>38.13787878787879</v>
      </c>
      <c r="E21" s="8">
        <v>1.4244964443208454</v>
      </c>
      <c r="G21" s="8">
        <v>6</v>
      </c>
      <c r="H21" s="8">
        <v>54.75</v>
      </c>
      <c r="J21" s="8">
        <v>55.264483892935502</v>
      </c>
      <c r="K21" s="8">
        <v>55.619986420901753</v>
      </c>
    </row>
    <row r="22" spans="1:11">
      <c r="A22" s="8">
        <v>6</v>
      </c>
      <c r="B22" s="8">
        <v>32.586363636363636</v>
      </c>
      <c r="C22" s="8">
        <v>1706</v>
      </c>
      <c r="D22" s="8">
        <v>35.342424242424244</v>
      </c>
      <c r="E22" s="8">
        <v>1.5371688244876962</v>
      </c>
      <c r="G22" s="8">
        <v>7</v>
      </c>
      <c r="H22" s="8">
        <v>54.62</v>
      </c>
      <c r="J22" s="8">
        <v>55.264483892935502</v>
      </c>
      <c r="K22" s="8">
        <v>55.619986420901753</v>
      </c>
    </row>
    <row r="23" spans="1:11">
      <c r="A23" s="8">
        <v>7</v>
      </c>
      <c r="B23" s="8">
        <v>32.586363636363636</v>
      </c>
      <c r="C23" s="8">
        <v>1707</v>
      </c>
      <c r="D23" s="8">
        <v>39.898863636363636</v>
      </c>
      <c r="E23" s="8">
        <v>1.3616245621030447</v>
      </c>
      <c r="G23" s="8">
        <v>8</v>
      </c>
      <c r="H23" s="8">
        <v>54.5</v>
      </c>
      <c r="J23" s="8">
        <v>55.264483892935502</v>
      </c>
      <c r="K23" s="8">
        <v>55.619986420901753</v>
      </c>
    </row>
    <row r="24" spans="1:11">
      <c r="A24" s="8">
        <v>8</v>
      </c>
      <c r="B24" s="8">
        <v>32.586363636363636</v>
      </c>
      <c r="C24" s="8">
        <v>1708</v>
      </c>
      <c r="D24" s="8">
        <v>40.191249999999997</v>
      </c>
      <c r="E24" s="8">
        <v>1.3517189121331816</v>
      </c>
      <c r="G24" s="8">
        <v>9</v>
      </c>
      <c r="H24" s="8">
        <v>54.62</v>
      </c>
      <c r="J24" s="8">
        <v>55.264483892935502</v>
      </c>
      <c r="K24" s="8">
        <v>55.619986420901753</v>
      </c>
    </row>
    <row r="25" spans="1:11">
      <c r="A25" s="8">
        <v>9</v>
      </c>
      <c r="B25" s="8">
        <v>32.586363636363636</v>
      </c>
      <c r="C25" s="8">
        <v>1709</v>
      </c>
      <c r="D25" s="8">
        <v>39.906060606060606</v>
      </c>
      <c r="E25" s="8">
        <v>1.3613789961272686</v>
      </c>
      <c r="G25" s="8">
        <v>10</v>
      </c>
      <c r="H25" s="8">
        <v>54.62</v>
      </c>
      <c r="J25" s="8">
        <v>55.264483892935502</v>
      </c>
      <c r="K25" s="8">
        <v>55.619986420901753</v>
      </c>
    </row>
    <row r="26" spans="1:11">
      <c r="A26" s="8">
        <v>10</v>
      </c>
      <c r="B26" s="8">
        <v>32.586363636363636</v>
      </c>
      <c r="C26" s="8">
        <v>1710</v>
      </c>
      <c r="D26" s="8">
        <v>43.636363636363633</v>
      </c>
      <c r="E26" s="8">
        <v>1.2450000000000001</v>
      </c>
      <c r="G26" s="8">
        <v>11</v>
      </c>
      <c r="H26" s="8">
        <v>54.12</v>
      </c>
      <c r="J26" s="8">
        <v>55.264483892935502</v>
      </c>
      <c r="K26" s="8">
        <v>55.619986420901753</v>
      </c>
    </row>
    <row r="27" spans="1:11">
      <c r="A27" s="8">
        <v>11</v>
      </c>
      <c r="B27" s="8">
        <v>32.586363636363636</v>
      </c>
      <c r="C27" s="8">
        <v>1711</v>
      </c>
      <c r="D27" s="8">
        <v>43.636363636363633</v>
      </c>
      <c r="E27" s="8">
        <v>1.2450000000000001</v>
      </c>
      <c r="G27" s="8">
        <v>12</v>
      </c>
      <c r="H27" s="8">
        <v>54.12</v>
      </c>
      <c r="J27" s="8">
        <v>55.264483892935502</v>
      </c>
      <c r="K27" s="8">
        <v>55.619986420901753</v>
      </c>
    </row>
    <row r="28" spans="1:11">
      <c r="A28" s="8">
        <v>12</v>
      </c>
      <c r="B28" s="8">
        <v>32.586363636363636</v>
      </c>
      <c r="C28" s="8">
        <v>1712</v>
      </c>
      <c r="D28" s="8">
        <v>43.636363636363633</v>
      </c>
      <c r="E28" s="8">
        <v>1.2450000000000001</v>
      </c>
      <c r="G28" s="8">
        <v>1687</v>
      </c>
      <c r="H28" s="8">
        <v>54.25</v>
      </c>
      <c r="J28" s="8">
        <v>55.264483892935502</v>
      </c>
      <c r="K28" s="8">
        <v>55.619986420901753</v>
      </c>
    </row>
    <row r="29" spans="1:11">
      <c r="A29" s="8">
        <v>1691</v>
      </c>
      <c r="B29" s="8">
        <v>32.586363636363636</v>
      </c>
      <c r="C29" s="8">
        <v>1713</v>
      </c>
      <c r="D29" s="8">
        <v>43.54545454545454</v>
      </c>
      <c r="E29" s="8">
        <v>1.2475991649269313</v>
      </c>
      <c r="G29" s="8">
        <v>2</v>
      </c>
      <c r="H29" s="8">
        <v>54.25</v>
      </c>
      <c r="J29" s="8">
        <v>55.264483892935502</v>
      </c>
      <c r="K29" s="8">
        <v>55.619986420901753</v>
      </c>
    </row>
    <row r="30" spans="1:11">
      <c r="A30" s="8">
        <v>2</v>
      </c>
      <c r="B30" s="8">
        <v>32.586363636363636</v>
      </c>
      <c r="C30" s="8">
        <v>1714</v>
      </c>
      <c r="D30" s="8">
        <v>39.545454545454547</v>
      </c>
      <c r="E30" s="8">
        <v>1.3737931034482758</v>
      </c>
      <c r="G30" s="8">
        <v>3</v>
      </c>
      <c r="H30" s="8">
        <v>54.25</v>
      </c>
      <c r="J30" s="8">
        <v>55.264483892935502</v>
      </c>
      <c r="K30" s="8">
        <v>55.619986420901753</v>
      </c>
    </row>
    <row r="31" spans="1:11">
      <c r="A31" s="8">
        <v>3</v>
      </c>
      <c r="B31" s="8">
        <v>32.586363636363636</v>
      </c>
      <c r="C31" s="8">
        <v>1715</v>
      </c>
      <c r="D31" s="8">
        <v>34.268749999999997</v>
      </c>
      <c r="E31" s="8">
        <v>1.5853298625503625</v>
      </c>
      <c r="G31" s="8">
        <v>4</v>
      </c>
      <c r="J31" s="8">
        <v>55.264483892935502</v>
      </c>
      <c r="K31" s="8">
        <v>55.619986420901753</v>
      </c>
    </row>
    <row r="32" spans="1:11">
      <c r="A32" s="8">
        <v>4</v>
      </c>
      <c r="B32" s="8">
        <v>32.586363636363636</v>
      </c>
      <c r="C32" s="8">
        <v>1716</v>
      </c>
      <c r="D32" s="8">
        <v>43.612499999999997</v>
      </c>
      <c r="E32" s="8">
        <v>1.2456812319237083</v>
      </c>
      <c r="G32" s="8">
        <v>5</v>
      </c>
      <c r="J32" s="8">
        <v>55.264483892935502</v>
      </c>
      <c r="K32" s="8">
        <v>55.619986420901753</v>
      </c>
    </row>
    <row r="33" spans="1:11">
      <c r="A33" s="8">
        <v>5</v>
      </c>
      <c r="B33" s="8">
        <v>32.586363636363636</v>
      </c>
      <c r="C33" s="8">
        <v>1717</v>
      </c>
      <c r="D33" s="8">
        <v>43.612499999999997</v>
      </c>
      <c r="E33" s="8">
        <v>1.2456812319237083</v>
      </c>
      <c r="G33" s="8">
        <v>6</v>
      </c>
      <c r="J33" s="8">
        <v>55.264483892935502</v>
      </c>
      <c r="K33" s="8">
        <v>55.619986420901753</v>
      </c>
    </row>
    <row r="34" spans="1:11">
      <c r="A34" s="8">
        <v>6</v>
      </c>
      <c r="B34" s="8">
        <v>32.586363636363636</v>
      </c>
      <c r="C34" s="8">
        <v>1718</v>
      </c>
      <c r="D34" s="8">
        <v>58.173863636363635</v>
      </c>
      <c r="E34" s="8">
        <v>0.93387767858886961</v>
      </c>
      <c r="G34" s="8">
        <v>7</v>
      </c>
      <c r="J34" s="8">
        <v>55.264483892935502</v>
      </c>
      <c r="K34" s="8">
        <v>55.619986420901753</v>
      </c>
    </row>
    <row r="35" spans="1:11">
      <c r="A35" s="8">
        <v>7</v>
      </c>
      <c r="B35" s="8">
        <v>32.586363636363636</v>
      </c>
      <c r="C35" s="8">
        <v>1719</v>
      </c>
      <c r="D35" s="8">
        <v>64.727272727272734</v>
      </c>
      <c r="E35" s="8">
        <v>0.83932584269662913</v>
      </c>
      <c r="G35" s="8">
        <v>8</v>
      </c>
      <c r="J35" s="8">
        <v>55.264483892935502</v>
      </c>
      <c r="K35" s="8">
        <v>55.619986420901753</v>
      </c>
    </row>
    <row r="36" spans="1:11">
      <c r="A36" s="8">
        <v>8</v>
      </c>
      <c r="B36" s="8">
        <v>32.586363636363636</v>
      </c>
      <c r="C36" s="8">
        <v>1720</v>
      </c>
      <c r="D36" s="8">
        <v>87.140530303030303</v>
      </c>
      <c r="E36" s="8">
        <v>0.62344436668390923</v>
      </c>
      <c r="G36" s="8">
        <v>9</v>
      </c>
      <c r="J36" s="8">
        <v>55.264483892935502</v>
      </c>
      <c r="K36" s="8">
        <v>55.619986420901753</v>
      </c>
    </row>
    <row r="37" spans="1:11">
      <c r="A37" s="8">
        <v>9</v>
      </c>
      <c r="B37" s="8">
        <v>32.586363636363636</v>
      </c>
      <c r="C37" s="8">
        <v>1721</v>
      </c>
      <c r="D37" s="8">
        <v>68.727272727272734</v>
      </c>
      <c r="E37" s="8">
        <v>0.79047619047619044</v>
      </c>
      <c r="G37" s="8">
        <v>10</v>
      </c>
      <c r="H37" s="8">
        <v>53.38</v>
      </c>
      <c r="J37" s="8">
        <v>55.264483892935502</v>
      </c>
      <c r="K37" s="8">
        <v>55.619986420901753</v>
      </c>
    </row>
    <row r="38" spans="1:11">
      <c r="A38" s="8">
        <v>10</v>
      </c>
      <c r="B38" s="8">
        <v>32.586363636363636</v>
      </c>
      <c r="C38" s="8">
        <v>1722</v>
      </c>
      <c r="D38" s="8">
        <v>68.727272727272734</v>
      </c>
      <c r="E38" s="8">
        <v>0.79047619047619044</v>
      </c>
      <c r="G38" s="8">
        <v>11</v>
      </c>
      <c r="H38" s="8">
        <v>53.25</v>
      </c>
      <c r="J38" s="8">
        <v>55.264483892935502</v>
      </c>
      <c r="K38" s="8">
        <v>55.619986420901753</v>
      </c>
    </row>
    <row r="39" spans="1:11">
      <c r="A39" s="8">
        <v>11</v>
      </c>
      <c r="B39" s="8">
        <v>32.586363636363636</v>
      </c>
      <c r="C39" s="8">
        <v>1723</v>
      </c>
      <c r="D39" s="8">
        <v>71.454545454545453</v>
      </c>
      <c r="E39" s="8">
        <v>0.7603053435114504</v>
      </c>
      <c r="G39" s="8">
        <v>12</v>
      </c>
      <c r="H39" s="8">
        <v>53.25</v>
      </c>
      <c r="J39" s="8">
        <v>55.264483892935502</v>
      </c>
      <c r="K39" s="8">
        <v>55.619986420901753</v>
      </c>
    </row>
    <row r="40" spans="1:11">
      <c r="A40" s="8">
        <v>12</v>
      </c>
      <c r="B40" s="8">
        <v>32.586363636363636</v>
      </c>
      <c r="C40" s="8">
        <v>1724</v>
      </c>
      <c r="D40" s="8">
        <v>55.13636363636364</v>
      </c>
      <c r="E40" s="8">
        <v>0.98532563891178893</v>
      </c>
      <c r="G40" s="8">
        <v>1688</v>
      </c>
      <c r="H40" s="8">
        <v>52.88</v>
      </c>
      <c r="J40" s="8">
        <v>55.264483892935502</v>
      </c>
      <c r="K40" s="8">
        <v>55.619986420901753</v>
      </c>
    </row>
    <row r="41" spans="1:11">
      <c r="A41" s="8">
        <v>1692</v>
      </c>
      <c r="B41" s="8">
        <v>32.586363636363636</v>
      </c>
      <c r="C41" s="8">
        <v>1725</v>
      </c>
      <c r="D41" s="8">
        <v>45.272727272727273</v>
      </c>
      <c r="E41" s="8">
        <v>1.2</v>
      </c>
      <c r="G41" s="8">
        <v>2</v>
      </c>
      <c r="H41" s="8">
        <v>52.75</v>
      </c>
      <c r="J41" s="8">
        <v>55.264483892935502</v>
      </c>
      <c r="K41" s="8">
        <v>55.619986420901753</v>
      </c>
    </row>
    <row r="42" spans="1:11">
      <c r="A42" s="8">
        <v>2</v>
      </c>
      <c r="B42" s="8">
        <v>32.586363636363636</v>
      </c>
      <c r="C42" s="8">
        <v>1726</v>
      </c>
      <c r="D42" s="8">
        <v>50.554545454545455</v>
      </c>
      <c r="E42" s="8">
        <v>1.0746268656716418</v>
      </c>
      <c r="G42" s="8">
        <v>3</v>
      </c>
      <c r="H42" s="8">
        <v>52.75</v>
      </c>
      <c r="J42" s="8">
        <v>55.264483892935502</v>
      </c>
      <c r="K42" s="8">
        <v>55.619986420901753</v>
      </c>
    </row>
    <row r="43" spans="1:11">
      <c r="A43" s="8">
        <v>3</v>
      </c>
      <c r="B43" s="8">
        <v>32.586363636363636</v>
      </c>
      <c r="C43" s="8">
        <v>1727</v>
      </c>
      <c r="D43" s="8">
        <v>54.327272727272728</v>
      </c>
      <c r="E43" s="8">
        <v>1</v>
      </c>
      <c r="G43" s="8">
        <v>4</v>
      </c>
      <c r="H43" s="8">
        <v>53</v>
      </c>
      <c r="J43" s="8">
        <v>55.264483892935502</v>
      </c>
      <c r="K43" s="8">
        <v>55.619986420901753</v>
      </c>
    </row>
    <row r="44" spans="1:11">
      <c r="A44" s="8">
        <v>4</v>
      </c>
      <c r="B44" s="8">
        <v>32.586363636363636</v>
      </c>
      <c r="G44" s="8">
        <v>5</v>
      </c>
      <c r="H44" s="8">
        <v>53</v>
      </c>
      <c r="J44" s="8">
        <v>55.264483892935502</v>
      </c>
      <c r="K44" s="8">
        <v>55.619986420901753</v>
      </c>
    </row>
    <row r="45" spans="1:11">
      <c r="A45" s="8">
        <v>5</v>
      </c>
      <c r="B45" s="8">
        <v>32.586363636363636</v>
      </c>
      <c r="G45" s="8">
        <v>6</v>
      </c>
      <c r="H45" s="8">
        <v>53.5</v>
      </c>
      <c r="J45" s="8">
        <v>55.264483892935502</v>
      </c>
      <c r="K45" s="8">
        <v>55.619986420901753</v>
      </c>
    </row>
    <row r="46" spans="1:11">
      <c r="A46" s="8">
        <v>6</v>
      </c>
      <c r="B46" s="8">
        <v>32.586363636363636</v>
      </c>
      <c r="G46" s="8">
        <v>7</v>
      </c>
      <c r="H46" s="8">
        <v>53.5</v>
      </c>
      <c r="J46" s="8">
        <v>55.264483892935502</v>
      </c>
      <c r="K46" s="8">
        <v>55.619986420901753</v>
      </c>
    </row>
    <row r="47" spans="1:11">
      <c r="A47" s="8">
        <v>7</v>
      </c>
      <c r="B47" s="8">
        <v>32.586363636363636</v>
      </c>
      <c r="G47" s="8">
        <v>8</v>
      </c>
      <c r="H47" s="8">
        <v>53.88</v>
      </c>
      <c r="J47" s="8">
        <v>55.264483892935502</v>
      </c>
      <c r="K47" s="8">
        <v>55.619986420901753</v>
      </c>
    </row>
    <row r="48" spans="1:11">
      <c r="A48" s="8">
        <v>8</v>
      </c>
      <c r="B48" s="8">
        <v>31.613636363636363</v>
      </c>
      <c r="G48" s="8">
        <v>9</v>
      </c>
      <c r="H48" s="8">
        <v>53.88</v>
      </c>
      <c r="J48" s="8">
        <v>55.264483892935502</v>
      </c>
      <c r="K48" s="8">
        <v>55.619986420901753</v>
      </c>
    </row>
    <row r="49" spans="1:11">
      <c r="A49" s="8">
        <v>9</v>
      </c>
      <c r="B49" s="8">
        <v>31.613636363636363</v>
      </c>
      <c r="G49" s="8">
        <v>10</v>
      </c>
      <c r="H49" s="8">
        <v>53.88</v>
      </c>
      <c r="J49" s="8">
        <v>55.264483892935502</v>
      </c>
      <c r="K49" s="8">
        <v>55.619986420901753</v>
      </c>
    </row>
    <row r="50" spans="1:11">
      <c r="A50" s="8">
        <v>10</v>
      </c>
      <c r="B50" s="8">
        <v>31.613636363636363</v>
      </c>
      <c r="G50" s="8">
        <v>11</v>
      </c>
      <c r="J50" s="8">
        <v>55.264483892935502</v>
      </c>
      <c r="K50" s="8">
        <v>55.619986420901753</v>
      </c>
    </row>
    <row r="51" spans="1:11">
      <c r="A51" s="8">
        <v>11</v>
      </c>
      <c r="B51" s="8">
        <v>31.613636363636363</v>
      </c>
      <c r="G51" s="8">
        <v>12</v>
      </c>
      <c r="J51" s="8">
        <v>55.264483892935502</v>
      </c>
      <c r="K51" s="8">
        <v>55.619986420901753</v>
      </c>
    </row>
    <row r="52" spans="1:11">
      <c r="A52" s="8">
        <v>12</v>
      </c>
      <c r="B52" s="8">
        <v>31.613636363636363</v>
      </c>
      <c r="G52" s="8">
        <v>1689</v>
      </c>
      <c r="J52" s="8">
        <f t="shared" ref="J52:J115" si="0">4608/2093*240*3/B5</f>
        <v>55.264483892935509</v>
      </c>
      <c r="K52" s="8">
        <v>55.619986420901753</v>
      </c>
    </row>
    <row r="53" spans="1:11">
      <c r="A53" s="8">
        <v>1693</v>
      </c>
      <c r="B53" s="8">
        <v>31.227272727272727</v>
      </c>
      <c r="G53" s="8">
        <v>2</v>
      </c>
      <c r="J53" s="8">
        <f t="shared" si="0"/>
        <v>55.264483892935509</v>
      </c>
      <c r="K53" s="8">
        <v>55.619986420901753</v>
      </c>
    </row>
    <row r="54" spans="1:11">
      <c r="A54" s="8">
        <v>2</v>
      </c>
      <c r="B54" s="8">
        <v>31.227272727272727</v>
      </c>
      <c r="G54" s="8">
        <v>3</v>
      </c>
      <c r="J54" s="8">
        <f t="shared" si="0"/>
        <v>55.264483892935509</v>
      </c>
      <c r="K54" s="8">
        <v>55.619986420901753</v>
      </c>
    </row>
    <row r="55" spans="1:11">
      <c r="A55" s="8">
        <v>3</v>
      </c>
      <c r="B55" s="8">
        <v>31.227272727272727</v>
      </c>
      <c r="G55" s="8">
        <v>4</v>
      </c>
      <c r="J55" s="8">
        <f t="shared" si="0"/>
        <v>55.264483892935509</v>
      </c>
      <c r="K55" s="8">
        <v>55.619986420901753</v>
      </c>
    </row>
    <row r="56" spans="1:11">
      <c r="A56" s="8">
        <v>4</v>
      </c>
      <c r="B56" s="8">
        <v>31.227272727272727</v>
      </c>
      <c r="G56" s="8">
        <v>5</v>
      </c>
      <c r="J56" s="8">
        <f t="shared" si="0"/>
        <v>55.264483892935509</v>
      </c>
      <c r="K56" s="8">
        <v>55.619986420901753</v>
      </c>
    </row>
    <row r="57" spans="1:11">
      <c r="A57" s="8">
        <v>5</v>
      </c>
      <c r="B57" s="8">
        <v>31.227272727272727</v>
      </c>
      <c r="G57" s="8">
        <v>6</v>
      </c>
      <c r="H57" s="8">
        <v>55.94</v>
      </c>
      <c r="J57" s="8">
        <f t="shared" si="0"/>
        <v>55.264483892935509</v>
      </c>
      <c r="K57" s="8">
        <v>55.619986420901753</v>
      </c>
    </row>
    <row r="58" spans="1:11">
      <c r="A58" s="8">
        <v>6</v>
      </c>
      <c r="B58" s="8">
        <v>31.227272727272727</v>
      </c>
      <c r="G58" s="8">
        <v>7</v>
      </c>
      <c r="J58" s="8">
        <f t="shared" si="0"/>
        <v>55.264483892935509</v>
      </c>
      <c r="K58" s="8">
        <v>55.619986420901753</v>
      </c>
    </row>
    <row r="59" spans="1:11">
      <c r="A59" s="8">
        <v>7</v>
      </c>
      <c r="B59" s="8">
        <v>30.740909090909092</v>
      </c>
      <c r="G59" s="8">
        <v>8</v>
      </c>
      <c r="J59" s="8">
        <f t="shared" si="0"/>
        <v>55.264483892935509</v>
      </c>
      <c r="K59" s="8">
        <v>55.619986420901753</v>
      </c>
    </row>
    <row r="60" spans="1:11">
      <c r="A60" s="8">
        <v>8</v>
      </c>
      <c r="B60" s="8">
        <v>30.254545454545454</v>
      </c>
      <c r="G60" s="8">
        <v>9</v>
      </c>
      <c r="J60" s="8">
        <f t="shared" si="0"/>
        <v>55.264483892935509</v>
      </c>
      <c r="K60" s="8">
        <v>55.619986420901753</v>
      </c>
    </row>
    <row r="61" spans="1:11">
      <c r="A61" s="8">
        <v>9</v>
      </c>
      <c r="B61" s="8">
        <v>30.254545454545454</v>
      </c>
      <c r="G61" s="8">
        <v>10</v>
      </c>
      <c r="J61" s="8">
        <f t="shared" si="0"/>
        <v>55.264483892935509</v>
      </c>
      <c r="K61" s="8">
        <v>55.619986420901753</v>
      </c>
    </row>
    <row r="62" spans="1:11">
      <c r="A62" s="8">
        <v>10</v>
      </c>
      <c r="B62" s="8">
        <v>34.981818181818184</v>
      </c>
      <c r="G62" s="8">
        <v>11</v>
      </c>
      <c r="J62" s="8">
        <f t="shared" si="0"/>
        <v>55.264483892935509</v>
      </c>
      <c r="K62" s="8">
        <v>55.619986420901753</v>
      </c>
    </row>
    <row r="63" spans="1:11">
      <c r="A63" s="8">
        <v>11</v>
      </c>
      <c r="B63" s="8">
        <v>34.981818181818184</v>
      </c>
      <c r="G63" s="8">
        <v>12</v>
      </c>
      <c r="J63" s="8">
        <f t="shared" si="0"/>
        <v>49.382230934445488</v>
      </c>
      <c r="K63" s="8">
        <v>55.619986420901753</v>
      </c>
    </row>
    <row r="64" spans="1:11">
      <c r="A64" s="8">
        <v>12</v>
      </c>
      <c r="B64" s="8">
        <v>34.981818181818184</v>
      </c>
      <c r="G64" s="8">
        <v>1690</v>
      </c>
      <c r="J64" s="8">
        <f t="shared" si="0"/>
        <v>48.64518271154332</v>
      </c>
      <c r="K64" s="8">
        <v>55.619986420901753</v>
      </c>
    </row>
    <row r="65" spans="1:11">
      <c r="A65" s="8">
        <v>1694</v>
      </c>
      <c r="B65" s="8">
        <v>34.981818181818184</v>
      </c>
      <c r="G65" s="8">
        <v>2</v>
      </c>
      <c r="J65" s="8">
        <f t="shared" si="0"/>
        <v>48.64518271154332</v>
      </c>
      <c r="K65" s="8">
        <v>55.619986420901753</v>
      </c>
    </row>
    <row r="66" spans="1:11">
      <c r="A66" s="8">
        <v>2</v>
      </c>
      <c r="B66" s="8">
        <v>34.981818181818184</v>
      </c>
      <c r="G66" s="8">
        <v>3</v>
      </c>
      <c r="J66" s="8">
        <f t="shared" si="0"/>
        <v>48.64518271154332</v>
      </c>
      <c r="K66" s="8">
        <v>55.619986420901753</v>
      </c>
    </row>
    <row r="67" spans="1:11">
      <c r="A67" s="8">
        <v>3</v>
      </c>
      <c r="B67" s="8">
        <v>34.981818181818184</v>
      </c>
      <c r="G67" s="8">
        <v>4</v>
      </c>
      <c r="J67" s="8">
        <f t="shared" si="0"/>
        <v>48.64518271154332</v>
      </c>
      <c r="K67" s="8">
        <v>55.619986420901753</v>
      </c>
    </row>
    <row r="68" spans="1:11">
      <c r="A68" s="8">
        <v>4</v>
      </c>
      <c r="B68" s="8">
        <v>34.981818181818184</v>
      </c>
      <c r="G68" s="8">
        <v>5</v>
      </c>
      <c r="J68" s="8">
        <f t="shared" si="0"/>
        <v>48.64518271154332</v>
      </c>
      <c r="K68" s="8">
        <v>55.619986420901753</v>
      </c>
    </row>
    <row r="69" spans="1:11">
      <c r="A69" s="8">
        <v>5</v>
      </c>
      <c r="B69" s="8">
        <v>34.981818181818184</v>
      </c>
      <c r="G69" s="8">
        <v>6</v>
      </c>
      <c r="J69" s="8">
        <f t="shared" si="0"/>
        <v>48.64518271154332</v>
      </c>
      <c r="K69" s="8">
        <v>55.619986420901753</v>
      </c>
    </row>
    <row r="70" spans="1:11">
      <c r="A70" s="8">
        <v>6</v>
      </c>
      <c r="B70" s="8">
        <v>34.981818181818184</v>
      </c>
      <c r="G70" s="8">
        <v>7</v>
      </c>
      <c r="J70" s="8">
        <f t="shared" si="0"/>
        <v>48.64518271154332</v>
      </c>
      <c r="K70" s="8">
        <v>55.619986420901753</v>
      </c>
    </row>
    <row r="71" spans="1:11">
      <c r="A71" s="8">
        <v>7</v>
      </c>
      <c r="B71" s="8">
        <v>34.981818181818184</v>
      </c>
      <c r="G71" s="8">
        <v>8</v>
      </c>
      <c r="J71" s="8">
        <f t="shared" si="0"/>
        <v>48.64518271154332</v>
      </c>
      <c r="K71" s="8">
        <v>55.619986420901753</v>
      </c>
    </row>
    <row r="72" spans="1:11">
      <c r="A72" s="8">
        <v>8</v>
      </c>
      <c r="B72" s="8">
        <v>34.981818181818184</v>
      </c>
      <c r="G72" s="8">
        <v>9</v>
      </c>
      <c r="J72" s="8">
        <f t="shared" si="0"/>
        <v>48.64518271154332</v>
      </c>
      <c r="K72" s="8">
        <v>55.619986420901753</v>
      </c>
    </row>
    <row r="73" spans="1:11">
      <c r="A73" s="8">
        <v>9</v>
      </c>
      <c r="B73" s="8">
        <v>34.981818181818184</v>
      </c>
      <c r="G73" s="8">
        <v>10</v>
      </c>
      <c r="J73" s="8">
        <f t="shared" si="0"/>
        <v>48.64518271154332</v>
      </c>
      <c r="K73" s="8">
        <v>55.619986420901753</v>
      </c>
    </row>
    <row r="74" spans="1:11">
      <c r="A74" s="8">
        <v>10</v>
      </c>
      <c r="B74" s="8">
        <v>34.981818181818184</v>
      </c>
      <c r="G74" s="8">
        <v>11</v>
      </c>
      <c r="J74" s="8">
        <f t="shared" si="0"/>
        <v>48.64518271154332</v>
      </c>
      <c r="K74" s="8">
        <v>55.619986420901753</v>
      </c>
    </row>
    <row r="75" spans="1:11">
      <c r="A75" s="8">
        <v>11</v>
      </c>
      <c r="B75" s="8">
        <v>34.981818181818184</v>
      </c>
      <c r="G75" s="8">
        <v>12</v>
      </c>
      <c r="J75" s="8">
        <f t="shared" si="0"/>
        <v>48.64518271154332</v>
      </c>
      <c r="K75" s="8">
        <v>55.619986420901753</v>
      </c>
    </row>
    <row r="76" spans="1:11">
      <c r="A76" s="8">
        <v>12</v>
      </c>
      <c r="B76" s="8">
        <v>34.981818181818184</v>
      </c>
      <c r="G76" s="8">
        <v>1691</v>
      </c>
      <c r="J76" s="8">
        <f t="shared" si="0"/>
        <v>48.64518271154332</v>
      </c>
      <c r="K76" s="8">
        <v>55.619986420901753</v>
      </c>
    </row>
    <row r="77" spans="1:11">
      <c r="A77" s="8">
        <v>1695</v>
      </c>
      <c r="B77" s="8">
        <v>34.981818181818184</v>
      </c>
      <c r="G77" s="8">
        <v>2</v>
      </c>
      <c r="J77" s="8">
        <f t="shared" si="0"/>
        <v>48.64518271154332</v>
      </c>
      <c r="K77" s="8">
        <v>55.619986420901753</v>
      </c>
    </row>
    <row r="78" spans="1:11">
      <c r="A78" s="8">
        <v>2</v>
      </c>
      <c r="B78" s="8">
        <v>34.981818181818184</v>
      </c>
      <c r="G78" s="8">
        <v>3</v>
      </c>
      <c r="J78" s="8">
        <f t="shared" si="0"/>
        <v>48.64518271154332</v>
      </c>
      <c r="K78" s="8">
        <v>55.619986420901753</v>
      </c>
    </row>
    <row r="79" spans="1:11">
      <c r="A79" s="8">
        <v>3</v>
      </c>
      <c r="B79" s="8">
        <v>34.981818181818184</v>
      </c>
      <c r="G79" s="8">
        <v>4</v>
      </c>
      <c r="J79" s="8">
        <f t="shared" si="0"/>
        <v>48.64518271154332</v>
      </c>
      <c r="K79" s="8">
        <v>55.619986420901753</v>
      </c>
    </row>
    <row r="80" spans="1:11">
      <c r="A80" s="8">
        <v>4</v>
      </c>
      <c r="B80" s="8">
        <v>34.981818181818184</v>
      </c>
      <c r="G80" s="8">
        <v>5</v>
      </c>
      <c r="J80" s="8">
        <f t="shared" si="0"/>
        <v>48.64518271154332</v>
      </c>
      <c r="K80" s="8">
        <v>55.619986420901753</v>
      </c>
    </row>
    <row r="81" spans="1:11">
      <c r="A81" s="8">
        <v>5</v>
      </c>
      <c r="B81" s="8">
        <v>34.981818181818184</v>
      </c>
      <c r="G81" s="8">
        <v>6</v>
      </c>
      <c r="J81" s="8">
        <f t="shared" si="0"/>
        <v>48.64518271154332</v>
      </c>
      <c r="K81" s="8">
        <v>55.619986420901753</v>
      </c>
    </row>
    <row r="82" spans="1:11">
      <c r="A82" s="8">
        <v>6</v>
      </c>
      <c r="B82" s="8">
        <v>34.981818181818184</v>
      </c>
      <c r="G82" s="8">
        <v>7</v>
      </c>
      <c r="J82" s="8">
        <f t="shared" si="0"/>
        <v>48.64518271154332</v>
      </c>
      <c r="K82" s="8">
        <v>55.619986420901753</v>
      </c>
    </row>
    <row r="83" spans="1:11">
      <c r="A83" s="8">
        <v>7</v>
      </c>
      <c r="B83" s="8">
        <v>34.981818181818184</v>
      </c>
      <c r="G83" s="8">
        <v>8</v>
      </c>
      <c r="J83" s="8">
        <f t="shared" si="0"/>
        <v>48.64518271154332</v>
      </c>
      <c r="K83" s="8">
        <v>55.619986420901753</v>
      </c>
    </row>
    <row r="84" spans="1:11">
      <c r="A84" s="8">
        <v>8</v>
      </c>
      <c r="B84" s="8">
        <v>34.981818181818184</v>
      </c>
      <c r="G84" s="8">
        <v>9</v>
      </c>
      <c r="J84" s="8">
        <f t="shared" si="0"/>
        <v>48.64518271154332</v>
      </c>
      <c r="K84" s="8">
        <v>55.619986420901753</v>
      </c>
    </row>
    <row r="85" spans="1:11">
      <c r="A85" s="8">
        <v>9</v>
      </c>
      <c r="B85" s="8">
        <v>34.981818181818184</v>
      </c>
      <c r="G85" s="8">
        <v>10</v>
      </c>
      <c r="J85" s="8">
        <f t="shared" si="0"/>
        <v>48.64518271154332</v>
      </c>
      <c r="K85" s="8">
        <v>55.619986420901753</v>
      </c>
    </row>
    <row r="86" spans="1:11">
      <c r="A86" s="8">
        <v>10</v>
      </c>
      <c r="B86" s="8">
        <v>34.981818181818184</v>
      </c>
      <c r="G86" s="8">
        <v>11</v>
      </c>
      <c r="I86" s="8">
        <v>52.64</v>
      </c>
      <c r="J86" s="8">
        <f t="shared" si="0"/>
        <v>48.64518271154332</v>
      </c>
      <c r="K86" s="8">
        <v>55.619986420901753</v>
      </c>
    </row>
    <row r="87" spans="1:11">
      <c r="A87" s="8">
        <v>11</v>
      </c>
      <c r="B87" s="8">
        <v>34.981818181818184</v>
      </c>
      <c r="G87" s="8">
        <v>12</v>
      </c>
      <c r="J87" s="8">
        <f t="shared" si="0"/>
        <v>48.64518271154332</v>
      </c>
      <c r="K87" s="8">
        <v>55.619986420901753</v>
      </c>
    </row>
    <row r="88" spans="1:11">
      <c r="A88" s="8">
        <v>12</v>
      </c>
      <c r="B88" s="8">
        <v>34.981818181818184</v>
      </c>
      <c r="G88" s="8">
        <v>1692</v>
      </c>
      <c r="J88" s="8">
        <f t="shared" si="0"/>
        <v>48.64518271154332</v>
      </c>
      <c r="K88" s="8">
        <v>55.619986420901753</v>
      </c>
    </row>
    <row r="89" spans="1:11">
      <c r="A89" s="8">
        <v>1696</v>
      </c>
      <c r="B89" s="8">
        <v>34.981818181818184</v>
      </c>
      <c r="G89" s="8">
        <v>2</v>
      </c>
      <c r="J89" s="8">
        <f t="shared" si="0"/>
        <v>48.64518271154332</v>
      </c>
      <c r="K89" s="8">
        <v>55.619986420901753</v>
      </c>
    </row>
    <row r="90" spans="1:11">
      <c r="A90" s="8">
        <v>2</v>
      </c>
      <c r="B90" s="8">
        <v>34.981818181818184</v>
      </c>
      <c r="G90" s="8">
        <v>3</v>
      </c>
      <c r="J90" s="8">
        <f t="shared" si="0"/>
        <v>48.64518271154332</v>
      </c>
      <c r="K90" s="8">
        <v>55.619986420901753</v>
      </c>
    </row>
    <row r="91" spans="1:11">
      <c r="A91" s="8">
        <v>3</v>
      </c>
      <c r="B91" s="8">
        <v>34.981818181818184</v>
      </c>
      <c r="G91" s="8">
        <v>4</v>
      </c>
      <c r="J91" s="8">
        <f t="shared" si="0"/>
        <v>48.64518271154332</v>
      </c>
      <c r="K91" s="8">
        <v>55.619986420901753</v>
      </c>
    </row>
    <row r="92" spans="1:11">
      <c r="A92" s="8">
        <v>4</v>
      </c>
      <c r="B92" s="8">
        <v>34.981818181818184</v>
      </c>
      <c r="G92" s="8">
        <v>5</v>
      </c>
      <c r="J92" s="8">
        <f t="shared" si="0"/>
        <v>48.64518271154332</v>
      </c>
      <c r="K92" s="8">
        <v>55.619986420901753</v>
      </c>
    </row>
    <row r="93" spans="1:11">
      <c r="A93" s="8">
        <v>5</v>
      </c>
      <c r="B93" s="8">
        <v>34.981818181818184</v>
      </c>
      <c r="G93" s="8">
        <v>6</v>
      </c>
      <c r="I93" s="8">
        <v>52.37</v>
      </c>
      <c r="J93" s="8">
        <f t="shared" si="0"/>
        <v>48.64518271154332</v>
      </c>
      <c r="K93" s="8">
        <v>55.619986420901753</v>
      </c>
    </row>
    <row r="94" spans="1:11">
      <c r="A94" s="8">
        <v>6</v>
      </c>
      <c r="B94" s="8">
        <v>34.981818181818184</v>
      </c>
      <c r="G94" s="8">
        <v>7</v>
      </c>
      <c r="J94" s="8">
        <f t="shared" si="0"/>
        <v>48.64518271154332</v>
      </c>
      <c r="K94" s="8">
        <v>55.619986420901753</v>
      </c>
    </row>
    <row r="95" spans="1:11">
      <c r="A95" s="8">
        <v>7</v>
      </c>
      <c r="B95" s="8">
        <v>34.981818181818184</v>
      </c>
      <c r="G95" s="8">
        <v>8</v>
      </c>
      <c r="J95" s="8">
        <f t="shared" si="0"/>
        <v>50.141957564206187</v>
      </c>
      <c r="K95" s="8">
        <v>55.619986420901753</v>
      </c>
    </row>
    <row r="96" spans="1:11">
      <c r="A96" s="8">
        <v>8</v>
      </c>
      <c r="B96" s="8">
        <v>34.981818181818184</v>
      </c>
      <c r="G96" s="8">
        <v>9</v>
      </c>
      <c r="J96" s="8">
        <f t="shared" si="0"/>
        <v>50.141957564206187</v>
      </c>
      <c r="K96" s="8">
        <v>55.619986420901753</v>
      </c>
    </row>
    <row r="97" spans="1:11">
      <c r="A97" s="8">
        <v>9</v>
      </c>
      <c r="B97" s="8">
        <v>34.981818181818184</v>
      </c>
      <c r="G97" s="8">
        <v>10</v>
      </c>
      <c r="J97" s="8">
        <f t="shared" si="0"/>
        <v>50.141957564206187</v>
      </c>
      <c r="K97" s="8">
        <f t="shared" ref="K97:K128" si="1">4608/2093*720/30</f>
        <v>52.838987099856666</v>
      </c>
    </row>
    <row r="98" spans="1:11">
      <c r="A98" s="8">
        <v>10</v>
      </c>
      <c r="B98" s="8">
        <v>34.981818181818184</v>
      </c>
      <c r="G98" s="8">
        <v>11</v>
      </c>
      <c r="J98" s="8">
        <f t="shared" si="0"/>
        <v>50.141957564206187</v>
      </c>
      <c r="K98" s="8">
        <f t="shared" si="1"/>
        <v>52.838987099856666</v>
      </c>
    </row>
    <row r="99" spans="1:11">
      <c r="A99" s="8">
        <v>11</v>
      </c>
      <c r="B99" s="8">
        <v>34.981818181818184</v>
      </c>
      <c r="G99" s="8">
        <v>12</v>
      </c>
      <c r="J99" s="8">
        <f t="shared" si="0"/>
        <v>50.141957564206187</v>
      </c>
      <c r="K99" s="8">
        <f t="shared" si="1"/>
        <v>52.838987099856666</v>
      </c>
    </row>
    <row r="100" spans="1:11">
      <c r="A100" s="8">
        <v>12</v>
      </c>
      <c r="B100" s="8">
        <v>34.981818181818184</v>
      </c>
      <c r="G100" s="8">
        <v>1693</v>
      </c>
      <c r="J100" s="8">
        <f t="shared" si="0"/>
        <v>50.762345685451827</v>
      </c>
      <c r="K100" s="8">
        <f t="shared" si="1"/>
        <v>52.838987099856666</v>
      </c>
    </row>
    <row r="101" spans="1:11">
      <c r="A101" s="8">
        <v>1697</v>
      </c>
      <c r="B101" s="8">
        <v>34.981818181818184</v>
      </c>
      <c r="G101" s="8">
        <v>2</v>
      </c>
      <c r="I101" s="8">
        <v>52.88</v>
      </c>
      <c r="J101" s="8">
        <f t="shared" si="0"/>
        <v>50.762345685451827</v>
      </c>
      <c r="K101" s="8">
        <f t="shared" si="1"/>
        <v>52.838987099856666</v>
      </c>
    </row>
    <row r="102" spans="1:11">
      <c r="A102" s="8">
        <v>2</v>
      </c>
      <c r="B102" s="8">
        <v>34.981818181818184</v>
      </c>
      <c r="G102" s="8">
        <v>3</v>
      </c>
      <c r="J102" s="8">
        <f t="shared" si="0"/>
        <v>50.762345685451827</v>
      </c>
      <c r="K102" s="8">
        <f t="shared" si="1"/>
        <v>52.838987099856666</v>
      </c>
    </row>
    <row r="103" spans="1:11">
      <c r="A103" s="8">
        <v>3</v>
      </c>
      <c r="B103" s="8">
        <v>34.981818181818184</v>
      </c>
      <c r="G103" s="8">
        <v>4</v>
      </c>
      <c r="I103" s="8">
        <v>53.24</v>
      </c>
      <c r="J103" s="8">
        <f t="shared" si="0"/>
        <v>50.762345685451827</v>
      </c>
      <c r="K103" s="8">
        <f t="shared" si="1"/>
        <v>52.838987099856666</v>
      </c>
    </row>
    <row r="104" spans="1:11">
      <c r="A104" s="8">
        <v>4</v>
      </c>
      <c r="B104" s="8">
        <v>34.981818181818184</v>
      </c>
      <c r="G104" s="8">
        <v>5</v>
      </c>
      <c r="I104" s="8">
        <v>53.2</v>
      </c>
      <c r="J104" s="8">
        <f t="shared" si="0"/>
        <v>50.762345685451827</v>
      </c>
      <c r="K104" s="8">
        <f t="shared" si="1"/>
        <v>52.838987099856666</v>
      </c>
    </row>
    <row r="105" spans="1:11">
      <c r="A105" s="8">
        <v>5</v>
      </c>
      <c r="B105" s="8">
        <v>34.981818181818184</v>
      </c>
      <c r="G105" s="8">
        <v>6</v>
      </c>
      <c r="J105" s="8">
        <f t="shared" si="0"/>
        <v>50.762345685451827</v>
      </c>
      <c r="K105" s="8">
        <f t="shared" si="1"/>
        <v>52.838987099856666</v>
      </c>
    </row>
    <row r="106" spans="1:11">
      <c r="A106" s="8">
        <v>6</v>
      </c>
      <c r="B106" s="8">
        <v>34.981818181818184</v>
      </c>
      <c r="G106" s="8">
        <v>7</v>
      </c>
      <c r="I106" s="8">
        <v>53.57</v>
      </c>
      <c r="J106" s="8">
        <f t="shared" si="0"/>
        <v>51.565476099224313</v>
      </c>
      <c r="K106" s="8">
        <f t="shared" si="1"/>
        <v>52.838987099856666</v>
      </c>
    </row>
    <row r="107" spans="1:11">
      <c r="A107" s="8">
        <v>7</v>
      </c>
      <c r="B107" s="8">
        <v>34.981818181818184</v>
      </c>
      <c r="G107" s="8">
        <v>8</v>
      </c>
      <c r="I107" s="8">
        <v>52.68</v>
      </c>
      <c r="J107" s="8">
        <f t="shared" si="0"/>
        <v>52.394428314160763</v>
      </c>
      <c r="K107" s="8">
        <f t="shared" si="1"/>
        <v>52.838987099856666</v>
      </c>
    </row>
    <row r="108" spans="1:11">
      <c r="A108" s="8">
        <v>8</v>
      </c>
      <c r="B108" s="8">
        <v>34.981818181818184</v>
      </c>
      <c r="G108" s="8">
        <v>9</v>
      </c>
      <c r="I108" s="8">
        <v>54.91</v>
      </c>
      <c r="J108" s="8">
        <f t="shared" si="0"/>
        <v>52.394428314160763</v>
      </c>
      <c r="K108" s="8">
        <f t="shared" si="1"/>
        <v>52.838987099856666</v>
      </c>
    </row>
    <row r="109" spans="1:11">
      <c r="A109" s="8">
        <v>9</v>
      </c>
      <c r="B109" s="8">
        <v>34.981818181818184</v>
      </c>
      <c r="G109" s="8">
        <v>10</v>
      </c>
      <c r="J109" s="8">
        <f t="shared" si="0"/>
        <v>45.314100163598496</v>
      </c>
      <c r="K109" s="8">
        <f t="shared" si="1"/>
        <v>52.838987099856666</v>
      </c>
    </row>
    <row r="110" spans="1:11">
      <c r="A110" s="8">
        <v>10</v>
      </c>
      <c r="B110" s="8">
        <v>34.981818181818184</v>
      </c>
      <c r="G110" s="8">
        <v>11</v>
      </c>
      <c r="J110" s="8">
        <f t="shared" si="0"/>
        <v>45.314100163598496</v>
      </c>
      <c r="K110" s="8">
        <f t="shared" si="1"/>
        <v>52.838987099856666</v>
      </c>
    </row>
    <row r="111" spans="1:11">
      <c r="A111" s="8">
        <v>11</v>
      </c>
      <c r="B111" s="8">
        <v>34.981818181818184</v>
      </c>
      <c r="G111" s="8">
        <v>12</v>
      </c>
      <c r="J111" s="8">
        <f t="shared" si="0"/>
        <v>45.314100163598496</v>
      </c>
      <c r="K111" s="8">
        <f t="shared" si="1"/>
        <v>52.838987099856666</v>
      </c>
    </row>
    <row r="112" spans="1:11">
      <c r="A112" s="8">
        <v>12</v>
      </c>
      <c r="B112" s="8">
        <v>34.981818181818184</v>
      </c>
      <c r="G112" s="8">
        <v>1694</v>
      </c>
      <c r="I112" s="8">
        <v>55.52</v>
      </c>
      <c r="J112" s="8">
        <f t="shared" si="0"/>
        <v>45.314100163598496</v>
      </c>
      <c r="K112" s="8">
        <f t="shared" si="1"/>
        <v>52.838987099856666</v>
      </c>
    </row>
    <row r="113" spans="1:11">
      <c r="A113" s="8">
        <v>1698</v>
      </c>
      <c r="B113" s="8">
        <v>34.981818181818184</v>
      </c>
      <c r="G113" s="8">
        <v>2</v>
      </c>
      <c r="J113" s="8">
        <f t="shared" si="0"/>
        <v>45.314100163598496</v>
      </c>
      <c r="K113" s="8">
        <f t="shared" si="1"/>
        <v>52.838987099856666</v>
      </c>
    </row>
    <row r="114" spans="1:11">
      <c r="A114" s="8">
        <v>2</v>
      </c>
      <c r="B114" s="8">
        <v>34.981818181818184</v>
      </c>
      <c r="G114" s="8">
        <v>3</v>
      </c>
      <c r="I114" s="8">
        <v>54.95</v>
      </c>
      <c r="J114" s="8">
        <f t="shared" si="0"/>
        <v>45.314100163598496</v>
      </c>
      <c r="K114" s="8">
        <f t="shared" si="1"/>
        <v>52.838987099856666</v>
      </c>
    </row>
    <row r="115" spans="1:11">
      <c r="A115" s="8">
        <v>3</v>
      </c>
      <c r="B115" s="8">
        <v>34.981818181818184</v>
      </c>
      <c r="G115" s="8">
        <v>4</v>
      </c>
      <c r="J115" s="8">
        <f t="shared" si="0"/>
        <v>45.314100163598496</v>
      </c>
      <c r="K115" s="8">
        <f t="shared" si="1"/>
        <v>52.838987099856666</v>
      </c>
    </row>
    <row r="116" spans="1:11">
      <c r="A116" s="8">
        <v>4</v>
      </c>
      <c r="B116" s="8">
        <v>34.981818181818184</v>
      </c>
      <c r="G116" s="8">
        <v>5</v>
      </c>
      <c r="J116" s="8">
        <f t="shared" ref="J116:J179" si="2">4608/2093*240*3/B69</f>
        <v>45.314100163598496</v>
      </c>
      <c r="K116" s="8">
        <f t="shared" si="1"/>
        <v>52.838987099856666</v>
      </c>
    </row>
    <row r="117" spans="1:11">
      <c r="A117" s="8">
        <v>5</v>
      </c>
      <c r="B117" s="8">
        <v>34.981818181818184</v>
      </c>
      <c r="G117" s="8">
        <v>6</v>
      </c>
      <c r="J117" s="8">
        <f t="shared" si="2"/>
        <v>45.314100163598496</v>
      </c>
      <c r="K117" s="8">
        <f t="shared" si="1"/>
        <v>52.838987099856666</v>
      </c>
    </row>
    <row r="118" spans="1:11">
      <c r="A118" s="8">
        <v>6</v>
      </c>
      <c r="B118" s="8">
        <v>34.981818181818184</v>
      </c>
      <c r="G118" s="8">
        <v>7</v>
      </c>
      <c r="I118" s="8">
        <v>57.12</v>
      </c>
      <c r="J118" s="8">
        <f t="shared" si="2"/>
        <v>45.314100163598496</v>
      </c>
      <c r="K118" s="8">
        <f t="shared" si="1"/>
        <v>52.838987099856666</v>
      </c>
    </row>
    <row r="119" spans="1:11">
      <c r="A119" s="8">
        <v>7</v>
      </c>
      <c r="B119" s="8">
        <v>34.981818181818184</v>
      </c>
      <c r="G119" s="8">
        <v>8</v>
      </c>
      <c r="I119" s="8">
        <v>58.26</v>
      </c>
      <c r="J119" s="8">
        <f t="shared" si="2"/>
        <v>45.314100163598496</v>
      </c>
      <c r="K119" s="8">
        <f t="shared" si="1"/>
        <v>52.838987099856666</v>
      </c>
    </row>
    <row r="120" spans="1:11">
      <c r="A120" s="8">
        <v>8</v>
      </c>
      <c r="B120" s="8">
        <v>34.981818181818184</v>
      </c>
      <c r="G120" s="8">
        <v>9</v>
      </c>
      <c r="I120" s="8">
        <v>57.49</v>
      </c>
      <c r="J120" s="8">
        <f t="shared" si="2"/>
        <v>45.314100163598496</v>
      </c>
      <c r="K120" s="8">
        <f t="shared" si="1"/>
        <v>52.838987099856666</v>
      </c>
    </row>
    <row r="121" spans="1:11">
      <c r="A121" s="8">
        <v>9</v>
      </c>
      <c r="B121" s="8">
        <v>34.981818181818184</v>
      </c>
      <c r="G121" s="8">
        <v>10</v>
      </c>
      <c r="J121" s="8">
        <f t="shared" si="2"/>
        <v>45.314100163598496</v>
      </c>
      <c r="K121" s="8">
        <f t="shared" si="1"/>
        <v>52.838987099856666</v>
      </c>
    </row>
    <row r="122" spans="1:11">
      <c r="A122" s="8">
        <v>10</v>
      </c>
      <c r="B122" s="8">
        <v>34.981818181818184</v>
      </c>
      <c r="G122" s="8">
        <v>11</v>
      </c>
      <c r="I122" s="8">
        <v>57.51</v>
      </c>
      <c r="J122" s="8">
        <f t="shared" si="2"/>
        <v>45.314100163598496</v>
      </c>
      <c r="K122" s="8">
        <f t="shared" si="1"/>
        <v>52.838987099856666</v>
      </c>
    </row>
    <row r="123" spans="1:11">
      <c r="A123" s="8">
        <v>11</v>
      </c>
      <c r="B123" s="8">
        <v>34.981818181818184</v>
      </c>
      <c r="G123" s="8">
        <v>12</v>
      </c>
      <c r="I123" s="8">
        <v>56.97</v>
      </c>
      <c r="J123" s="8">
        <f t="shared" si="2"/>
        <v>45.314100163598496</v>
      </c>
      <c r="K123" s="8">
        <f t="shared" si="1"/>
        <v>52.838987099856666</v>
      </c>
    </row>
    <row r="124" spans="1:11">
      <c r="A124" s="8">
        <v>12</v>
      </c>
      <c r="B124" s="8">
        <v>34.981818181818184</v>
      </c>
      <c r="G124" s="8">
        <v>1695</v>
      </c>
      <c r="H124" s="8">
        <v>56.75</v>
      </c>
      <c r="I124" s="8">
        <v>57.39</v>
      </c>
      <c r="J124" s="8">
        <f t="shared" si="2"/>
        <v>45.314100163598496</v>
      </c>
      <c r="K124" s="8">
        <f t="shared" si="1"/>
        <v>52.838987099856666</v>
      </c>
    </row>
    <row r="125" spans="1:11">
      <c r="A125" s="8">
        <v>1699</v>
      </c>
      <c r="B125" s="8">
        <v>34.981818181818184</v>
      </c>
      <c r="G125" s="8">
        <v>2</v>
      </c>
      <c r="I125" s="8">
        <v>57.61</v>
      </c>
      <c r="J125" s="8">
        <f t="shared" si="2"/>
        <v>45.314100163598496</v>
      </c>
      <c r="K125" s="8">
        <f t="shared" si="1"/>
        <v>52.838987099856666</v>
      </c>
    </row>
    <row r="126" spans="1:11">
      <c r="A126" s="8">
        <v>2</v>
      </c>
      <c r="B126" s="8">
        <v>34.981818181818184</v>
      </c>
      <c r="G126" s="8">
        <v>3</v>
      </c>
      <c r="I126" s="8">
        <v>57.84</v>
      </c>
      <c r="J126" s="8">
        <f t="shared" si="2"/>
        <v>45.314100163598496</v>
      </c>
      <c r="K126" s="8">
        <f t="shared" si="1"/>
        <v>52.838987099856666</v>
      </c>
    </row>
    <row r="127" spans="1:11">
      <c r="A127" s="8">
        <v>3</v>
      </c>
      <c r="B127" s="8">
        <v>34.981818181818184</v>
      </c>
      <c r="G127" s="8">
        <v>4</v>
      </c>
      <c r="I127" s="8">
        <v>59.1</v>
      </c>
      <c r="J127" s="8">
        <f t="shared" si="2"/>
        <v>45.314100163598496</v>
      </c>
      <c r="K127" s="8">
        <f t="shared" si="1"/>
        <v>52.838987099856666</v>
      </c>
    </row>
    <row r="128" spans="1:11">
      <c r="A128" s="8">
        <v>4</v>
      </c>
      <c r="B128" s="8">
        <v>34.981818181818184</v>
      </c>
      <c r="G128" s="8">
        <v>5</v>
      </c>
      <c r="I128" s="8">
        <v>57.63</v>
      </c>
      <c r="J128" s="8">
        <f t="shared" si="2"/>
        <v>45.314100163598496</v>
      </c>
      <c r="K128" s="8">
        <f t="shared" si="1"/>
        <v>52.838987099856666</v>
      </c>
    </row>
    <row r="129" spans="1:11">
      <c r="A129" s="8">
        <v>5</v>
      </c>
      <c r="B129" s="8">
        <v>34.981818181818184</v>
      </c>
      <c r="G129" s="8">
        <v>6</v>
      </c>
      <c r="I129" s="8">
        <v>61.75</v>
      </c>
      <c r="J129" s="8">
        <f t="shared" si="2"/>
        <v>45.314100163598496</v>
      </c>
      <c r="K129" s="8">
        <f t="shared" ref="K129:K160" si="3">4608/2093*720/30</f>
        <v>52.838987099856666</v>
      </c>
    </row>
    <row r="130" spans="1:11">
      <c r="A130" s="8">
        <v>6</v>
      </c>
      <c r="B130" s="8">
        <v>34.981818181818184</v>
      </c>
      <c r="G130" s="8">
        <v>7</v>
      </c>
      <c r="I130" s="8">
        <v>62.18</v>
      </c>
      <c r="J130" s="8">
        <f t="shared" si="2"/>
        <v>45.314100163598496</v>
      </c>
      <c r="K130" s="8">
        <f t="shared" si="3"/>
        <v>52.838987099856666</v>
      </c>
    </row>
    <row r="131" spans="1:11">
      <c r="A131" s="8">
        <v>7</v>
      </c>
      <c r="B131" s="8">
        <v>34.981818181818184</v>
      </c>
      <c r="G131" s="8">
        <v>8</v>
      </c>
      <c r="I131" s="8">
        <v>63.13</v>
      </c>
      <c r="J131" s="8">
        <f t="shared" si="2"/>
        <v>45.314100163598496</v>
      </c>
      <c r="K131" s="8">
        <f t="shared" si="3"/>
        <v>52.838987099856666</v>
      </c>
    </row>
    <row r="132" spans="1:11">
      <c r="A132" s="8">
        <v>8</v>
      </c>
      <c r="B132" s="8">
        <v>34.981818181818184</v>
      </c>
      <c r="G132" s="8">
        <v>9</v>
      </c>
      <c r="I132" s="8">
        <v>62.4</v>
      </c>
      <c r="J132" s="8">
        <f t="shared" si="2"/>
        <v>45.314100163598496</v>
      </c>
      <c r="K132" s="8">
        <f t="shared" si="3"/>
        <v>52.838987099856666</v>
      </c>
    </row>
    <row r="133" spans="1:11">
      <c r="A133" s="8">
        <v>9</v>
      </c>
      <c r="B133" s="8">
        <v>34.981818181818184</v>
      </c>
      <c r="G133" s="8">
        <v>10</v>
      </c>
      <c r="H133" s="8">
        <v>62.5</v>
      </c>
      <c r="I133" s="8">
        <v>61.88</v>
      </c>
      <c r="J133" s="8">
        <f t="shared" si="2"/>
        <v>45.314100163598496</v>
      </c>
      <c r="K133" s="8">
        <f t="shared" si="3"/>
        <v>52.838987099856666</v>
      </c>
    </row>
    <row r="134" spans="1:11">
      <c r="A134" s="8">
        <v>10</v>
      </c>
      <c r="B134" s="8">
        <v>34.981818181818184</v>
      </c>
      <c r="G134" s="8">
        <v>11</v>
      </c>
      <c r="H134" s="8">
        <v>63.25</v>
      </c>
      <c r="J134" s="8">
        <f t="shared" si="2"/>
        <v>45.314100163598496</v>
      </c>
      <c r="K134" s="8">
        <f t="shared" si="3"/>
        <v>52.838987099856666</v>
      </c>
    </row>
    <row r="135" spans="1:11">
      <c r="A135" s="8">
        <v>11</v>
      </c>
      <c r="B135" s="8">
        <v>34.981818181818184</v>
      </c>
      <c r="G135" s="8">
        <v>12</v>
      </c>
      <c r="H135" s="8">
        <v>57</v>
      </c>
      <c r="J135" s="8">
        <f t="shared" si="2"/>
        <v>45.314100163598496</v>
      </c>
      <c r="K135" s="8">
        <f t="shared" si="3"/>
        <v>52.838987099856666</v>
      </c>
    </row>
    <row r="136" spans="1:11">
      <c r="A136" s="8">
        <v>12</v>
      </c>
      <c r="B136" s="8">
        <v>34.981818181818184</v>
      </c>
      <c r="G136" s="8">
        <v>1696</v>
      </c>
      <c r="H136" s="8">
        <v>55.5</v>
      </c>
      <c r="J136" s="8">
        <f t="shared" si="2"/>
        <v>45.314100163598496</v>
      </c>
      <c r="K136" s="8">
        <f t="shared" si="3"/>
        <v>52.838987099856666</v>
      </c>
    </row>
    <row r="137" spans="1:11">
      <c r="A137" s="8">
        <v>1700</v>
      </c>
      <c r="B137" s="8">
        <v>34.531818181818181</v>
      </c>
      <c r="G137" s="8">
        <v>2</v>
      </c>
      <c r="H137" s="8">
        <v>57.25</v>
      </c>
      <c r="J137" s="8">
        <f t="shared" si="2"/>
        <v>45.314100163598496</v>
      </c>
      <c r="K137" s="8">
        <f t="shared" si="3"/>
        <v>52.838987099856666</v>
      </c>
    </row>
    <row r="138" spans="1:11">
      <c r="A138" s="8">
        <v>2</v>
      </c>
      <c r="B138" s="8">
        <v>34.045454545454547</v>
      </c>
      <c r="G138" s="8">
        <v>3</v>
      </c>
      <c r="H138" s="8">
        <v>58</v>
      </c>
      <c r="I138" s="8">
        <v>58.78</v>
      </c>
      <c r="J138" s="8">
        <f t="shared" si="2"/>
        <v>45.314100163598496</v>
      </c>
      <c r="K138" s="8">
        <f t="shared" si="3"/>
        <v>52.838987099856666</v>
      </c>
    </row>
    <row r="139" spans="1:11">
      <c r="A139" s="8">
        <v>3</v>
      </c>
      <c r="B139" s="8">
        <v>34.045454545454547</v>
      </c>
      <c r="G139" s="8">
        <v>4</v>
      </c>
      <c r="H139" s="8">
        <v>58</v>
      </c>
      <c r="I139" s="8">
        <v>58.03</v>
      </c>
      <c r="J139" s="8">
        <f t="shared" si="2"/>
        <v>45.314100163598496</v>
      </c>
      <c r="K139" s="8">
        <f t="shared" si="3"/>
        <v>52.838987099856666</v>
      </c>
    </row>
    <row r="140" spans="1:11">
      <c r="A140" s="8">
        <v>4</v>
      </c>
      <c r="B140" s="8">
        <v>33.559090909090912</v>
      </c>
      <c r="G140" s="8">
        <v>5</v>
      </c>
      <c r="H140" s="8">
        <v>57</v>
      </c>
      <c r="I140" s="8">
        <v>57.25</v>
      </c>
      <c r="J140" s="8">
        <f t="shared" si="2"/>
        <v>45.314100163598496</v>
      </c>
      <c r="K140" s="8">
        <f t="shared" si="3"/>
        <v>52.838987099856666</v>
      </c>
    </row>
    <row r="141" spans="1:11">
      <c r="A141" s="8">
        <v>5</v>
      </c>
      <c r="B141" s="8">
        <v>33.559090909090912</v>
      </c>
      <c r="G141" s="8">
        <v>6</v>
      </c>
      <c r="H141" s="8">
        <v>57</v>
      </c>
      <c r="I141" s="8">
        <v>58</v>
      </c>
      <c r="J141" s="8">
        <f t="shared" si="2"/>
        <v>45.314100163598496</v>
      </c>
      <c r="K141" s="8">
        <f t="shared" si="3"/>
        <v>52.838987099856666</v>
      </c>
    </row>
    <row r="142" spans="1:11">
      <c r="A142" s="8">
        <v>6</v>
      </c>
      <c r="B142" s="8">
        <v>33.072727272727271</v>
      </c>
      <c r="G142" s="8">
        <v>7</v>
      </c>
      <c r="H142" s="8">
        <v>57</v>
      </c>
      <c r="J142" s="8">
        <f t="shared" si="2"/>
        <v>45.314100163598496</v>
      </c>
      <c r="K142" s="8">
        <f t="shared" si="3"/>
        <v>52.838987099856666</v>
      </c>
    </row>
    <row r="143" spans="1:11">
      <c r="A143" s="8">
        <v>7</v>
      </c>
      <c r="B143" s="8">
        <v>33.072727272727271</v>
      </c>
      <c r="G143" s="8">
        <v>8</v>
      </c>
      <c r="H143" s="8">
        <v>57</v>
      </c>
      <c r="I143" s="8">
        <v>53.74</v>
      </c>
      <c r="J143" s="8">
        <f t="shared" si="2"/>
        <v>45.314100163598496</v>
      </c>
      <c r="K143" s="8">
        <f t="shared" si="3"/>
        <v>52.838987099856666</v>
      </c>
    </row>
    <row r="144" spans="1:11">
      <c r="A144" s="8">
        <v>8</v>
      </c>
      <c r="B144" s="8">
        <v>33.072727272727271</v>
      </c>
      <c r="G144" s="8">
        <v>9</v>
      </c>
      <c r="J144" s="8">
        <f t="shared" si="2"/>
        <v>45.314100163598496</v>
      </c>
      <c r="K144" s="8">
        <f t="shared" si="3"/>
        <v>52.838987099856666</v>
      </c>
    </row>
    <row r="145" spans="1:11">
      <c r="A145" s="8">
        <v>9</v>
      </c>
      <c r="B145" s="8">
        <v>33.072727272727271</v>
      </c>
      <c r="G145" s="8">
        <v>10</v>
      </c>
      <c r="J145" s="8">
        <f t="shared" si="2"/>
        <v>45.314100163598496</v>
      </c>
      <c r="K145" s="8">
        <f t="shared" si="3"/>
        <v>52.838987099856666</v>
      </c>
    </row>
    <row r="146" spans="1:11">
      <c r="A146" s="8">
        <v>10</v>
      </c>
      <c r="B146" s="8">
        <v>33.072727272727271</v>
      </c>
      <c r="G146" s="8">
        <v>11</v>
      </c>
      <c r="J146" s="8">
        <f t="shared" si="2"/>
        <v>45.314100163598496</v>
      </c>
      <c r="K146" s="8">
        <f t="shared" si="3"/>
        <v>52.838987099856666</v>
      </c>
    </row>
    <row r="147" spans="1:11">
      <c r="A147" s="8">
        <v>11</v>
      </c>
      <c r="B147" s="8">
        <v>33.072727272727271</v>
      </c>
      <c r="G147" s="8">
        <v>12</v>
      </c>
      <c r="J147" s="8">
        <f t="shared" si="2"/>
        <v>45.314100163598496</v>
      </c>
      <c r="K147" s="8">
        <f t="shared" si="3"/>
        <v>52.838987099856666</v>
      </c>
    </row>
    <row r="148" spans="1:11">
      <c r="A148" s="8">
        <v>12</v>
      </c>
      <c r="B148" s="8">
        <v>33.072727272727271</v>
      </c>
      <c r="G148" s="8">
        <v>1697</v>
      </c>
      <c r="J148" s="8">
        <f t="shared" si="2"/>
        <v>45.314100163598496</v>
      </c>
      <c r="K148" s="8">
        <f t="shared" si="3"/>
        <v>52.838987099856666</v>
      </c>
    </row>
    <row r="149" spans="1:11">
      <c r="A149" s="8">
        <v>1701</v>
      </c>
      <c r="B149" s="8">
        <v>32.586363636363636</v>
      </c>
      <c r="G149" s="8">
        <v>2</v>
      </c>
      <c r="H149" s="8">
        <v>48</v>
      </c>
      <c r="J149" s="8">
        <f t="shared" si="2"/>
        <v>45.314100163598496</v>
      </c>
      <c r="K149" s="8">
        <f t="shared" si="3"/>
        <v>52.838987099856666</v>
      </c>
    </row>
    <row r="150" spans="1:11">
      <c r="A150" s="8">
        <v>2</v>
      </c>
      <c r="B150" s="8">
        <v>32.586363636363636</v>
      </c>
      <c r="G150" s="8">
        <v>3</v>
      </c>
      <c r="H150" s="8">
        <v>46.5</v>
      </c>
      <c r="J150" s="8">
        <f t="shared" si="2"/>
        <v>45.314100163598496</v>
      </c>
      <c r="K150" s="8">
        <f t="shared" si="3"/>
        <v>52.838987099856666</v>
      </c>
    </row>
    <row r="151" spans="1:11">
      <c r="A151" s="8">
        <v>3</v>
      </c>
      <c r="B151" s="8">
        <v>32.586363636363636</v>
      </c>
      <c r="G151" s="8">
        <v>4</v>
      </c>
      <c r="H151" s="8">
        <v>47</v>
      </c>
      <c r="J151" s="8">
        <f t="shared" si="2"/>
        <v>45.314100163598496</v>
      </c>
      <c r="K151" s="8">
        <f t="shared" si="3"/>
        <v>52.838987099856666</v>
      </c>
    </row>
    <row r="152" spans="1:11">
      <c r="A152" s="8">
        <v>4</v>
      </c>
      <c r="B152" s="8">
        <v>32.1</v>
      </c>
      <c r="G152" s="8">
        <v>5</v>
      </c>
      <c r="H152" s="8">
        <v>47.25</v>
      </c>
      <c r="I152" s="8">
        <v>48.38</v>
      </c>
      <c r="J152" s="8">
        <f t="shared" si="2"/>
        <v>45.314100163598496</v>
      </c>
      <c r="K152" s="8">
        <f t="shared" si="3"/>
        <v>52.838987099856666</v>
      </c>
    </row>
    <row r="153" spans="1:11">
      <c r="A153" s="8">
        <v>5</v>
      </c>
      <c r="B153" s="8">
        <v>32.1</v>
      </c>
      <c r="G153" s="8">
        <v>6</v>
      </c>
      <c r="J153" s="8">
        <f t="shared" si="2"/>
        <v>45.314100163598496</v>
      </c>
      <c r="K153" s="8">
        <f t="shared" si="3"/>
        <v>52.838987099856666</v>
      </c>
    </row>
    <row r="154" spans="1:11">
      <c r="A154" s="8">
        <v>6</v>
      </c>
      <c r="B154" s="8">
        <v>32.1</v>
      </c>
      <c r="G154" s="8">
        <v>7</v>
      </c>
      <c r="J154" s="8">
        <f t="shared" si="2"/>
        <v>45.314100163598496</v>
      </c>
      <c r="K154" s="8">
        <f t="shared" si="3"/>
        <v>52.838987099856666</v>
      </c>
    </row>
    <row r="155" spans="1:11">
      <c r="A155" s="8">
        <v>7</v>
      </c>
      <c r="B155" s="8">
        <v>31.613636363636363</v>
      </c>
      <c r="G155" s="8">
        <v>8</v>
      </c>
      <c r="I155" s="8">
        <v>48.12</v>
      </c>
      <c r="J155" s="8">
        <f t="shared" si="2"/>
        <v>45.314100163598496</v>
      </c>
      <c r="K155" s="8">
        <f t="shared" si="3"/>
        <v>52.838987099856666</v>
      </c>
    </row>
    <row r="156" spans="1:11">
      <c r="A156" s="8">
        <v>8</v>
      </c>
      <c r="B156" s="8">
        <v>31.613636363636363</v>
      </c>
      <c r="G156" s="8">
        <v>9</v>
      </c>
      <c r="J156" s="8">
        <f t="shared" si="2"/>
        <v>45.314100163598496</v>
      </c>
      <c r="K156" s="8">
        <f t="shared" si="3"/>
        <v>52.838987099856666</v>
      </c>
    </row>
    <row r="157" spans="1:11">
      <c r="A157" s="8">
        <v>9</v>
      </c>
      <c r="B157" s="8">
        <v>32.831818181818178</v>
      </c>
      <c r="G157" s="8">
        <v>10</v>
      </c>
      <c r="I157" s="8">
        <v>49.49</v>
      </c>
      <c r="J157" s="8">
        <f t="shared" si="2"/>
        <v>45.314100163598496</v>
      </c>
      <c r="K157" s="8">
        <f t="shared" si="3"/>
        <v>52.838987099856666</v>
      </c>
    </row>
    <row r="158" spans="1:11">
      <c r="A158" s="8">
        <v>10</v>
      </c>
      <c r="B158" s="8">
        <v>36.963636363636361</v>
      </c>
      <c r="G158" s="8">
        <v>11</v>
      </c>
      <c r="J158" s="8">
        <f t="shared" si="2"/>
        <v>45.314100163598496</v>
      </c>
      <c r="K158" s="8">
        <f t="shared" si="3"/>
        <v>52.838987099856666</v>
      </c>
    </row>
    <row r="159" spans="1:11">
      <c r="A159" s="8">
        <v>11</v>
      </c>
      <c r="B159" s="8">
        <v>36.963636363636361</v>
      </c>
      <c r="G159" s="8">
        <v>12</v>
      </c>
      <c r="I159" s="8">
        <v>47.76</v>
      </c>
      <c r="J159" s="8">
        <f t="shared" si="2"/>
        <v>45.314100163598496</v>
      </c>
      <c r="K159" s="8">
        <f t="shared" si="3"/>
        <v>52.838987099856666</v>
      </c>
    </row>
    <row r="160" spans="1:11">
      <c r="A160" s="8">
        <v>12</v>
      </c>
      <c r="B160" s="8">
        <v>36.963636363636361</v>
      </c>
      <c r="G160" s="8">
        <v>1698</v>
      </c>
      <c r="H160" s="8">
        <v>47</v>
      </c>
      <c r="J160" s="8">
        <f t="shared" si="2"/>
        <v>45.314100163598496</v>
      </c>
      <c r="K160" s="8">
        <f t="shared" si="3"/>
        <v>52.838987099856666</v>
      </c>
    </row>
    <row r="161" spans="1:11">
      <c r="A161" s="8">
        <v>1702</v>
      </c>
      <c r="B161" s="8">
        <v>36.963636363636361</v>
      </c>
      <c r="G161" s="8">
        <v>2</v>
      </c>
      <c r="H161" s="8">
        <v>47</v>
      </c>
      <c r="J161" s="8">
        <f t="shared" si="2"/>
        <v>45.314100163598496</v>
      </c>
      <c r="K161" s="8">
        <f t="shared" ref="K161:K180" si="4">4608/2093*720/30</f>
        <v>52.838987099856666</v>
      </c>
    </row>
    <row r="162" spans="1:11">
      <c r="A162" s="8">
        <v>2</v>
      </c>
      <c r="B162" s="8">
        <v>36.963636363636361</v>
      </c>
      <c r="G162" s="8">
        <v>3</v>
      </c>
      <c r="H162" s="8">
        <v>46.44</v>
      </c>
      <c r="J162" s="8">
        <f t="shared" si="2"/>
        <v>45.314100163598496</v>
      </c>
      <c r="K162" s="8">
        <f t="shared" si="4"/>
        <v>52.838987099856666</v>
      </c>
    </row>
    <row r="163" spans="1:11">
      <c r="A163" s="8">
        <v>3</v>
      </c>
      <c r="B163" s="8">
        <v>36.963636363636361</v>
      </c>
      <c r="G163" s="8">
        <v>4</v>
      </c>
      <c r="H163" s="8">
        <v>45.74</v>
      </c>
      <c r="J163" s="8">
        <f t="shared" si="2"/>
        <v>45.314100163598496</v>
      </c>
      <c r="K163" s="8">
        <f t="shared" si="4"/>
        <v>52.838987099856666</v>
      </c>
    </row>
    <row r="164" spans="1:11">
      <c r="A164" s="8">
        <v>4</v>
      </c>
      <c r="B164" s="8">
        <v>36.963636363636361</v>
      </c>
      <c r="G164" s="8">
        <v>5</v>
      </c>
      <c r="H164" s="8">
        <v>46.56</v>
      </c>
      <c r="J164" s="8">
        <f t="shared" si="2"/>
        <v>45.314100163598496</v>
      </c>
      <c r="K164" s="8">
        <f t="shared" si="4"/>
        <v>52.838987099856666</v>
      </c>
    </row>
    <row r="165" spans="1:11">
      <c r="A165" s="8">
        <v>5</v>
      </c>
      <c r="B165" s="8">
        <v>36.963636363636361</v>
      </c>
      <c r="G165" s="8">
        <v>6</v>
      </c>
      <c r="H165" s="8">
        <v>45.75</v>
      </c>
      <c r="J165" s="8">
        <f t="shared" si="2"/>
        <v>45.314100163598496</v>
      </c>
      <c r="K165" s="8">
        <f t="shared" si="4"/>
        <v>52.838987099856666</v>
      </c>
    </row>
    <row r="166" spans="1:11">
      <c r="A166" s="8">
        <v>6</v>
      </c>
      <c r="B166" s="8">
        <v>36.963636363636361</v>
      </c>
      <c r="G166" s="8">
        <v>7</v>
      </c>
      <c r="H166" s="8">
        <v>45.56</v>
      </c>
      <c r="J166" s="8">
        <f t="shared" si="2"/>
        <v>45.314100163598496</v>
      </c>
      <c r="K166" s="8">
        <f t="shared" si="4"/>
        <v>52.838987099856666</v>
      </c>
    </row>
    <row r="167" spans="1:11">
      <c r="A167" s="8">
        <v>7</v>
      </c>
      <c r="B167" s="8">
        <v>36.963636363636361</v>
      </c>
      <c r="G167" s="8">
        <v>8</v>
      </c>
      <c r="H167" s="8">
        <v>45.25</v>
      </c>
      <c r="J167" s="8">
        <f t="shared" si="2"/>
        <v>45.314100163598496</v>
      </c>
      <c r="K167" s="8">
        <f t="shared" si="4"/>
        <v>52.838987099856666</v>
      </c>
    </row>
    <row r="168" spans="1:11">
      <c r="A168" s="8">
        <v>8</v>
      </c>
      <c r="B168" s="8">
        <v>36.963636363636361</v>
      </c>
      <c r="G168" s="8">
        <v>9</v>
      </c>
      <c r="H168" s="8">
        <v>44.62</v>
      </c>
      <c r="J168" s="8">
        <f t="shared" si="2"/>
        <v>45.314100163598496</v>
      </c>
      <c r="K168" s="8">
        <f t="shared" si="4"/>
        <v>52.838987099856666</v>
      </c>
    </row>
    <row r="169" spans="1:11">
      <c r="A169" s="8">
        <v>9</v>
      </c>
      <c r="B169" s="8">
        <v>35.990909090909092</v>
      </c>
      <c r="G169" s="8">
        <v>10</v>
      </c>
      <c r="H169" s="8">
        <v>44.31</v>
      </c>
      <c r="J169" s="8">
        <f t="shared" si="2"/>
        <v>45.314100163598496</v>
      </c>
      <c r="K169" s="8">
        <f t="shared" si="4"/>
        <v>52.838987099856666</v>
      </c>
    </row>
    <row r="170" spans="1:11">
      <c r="A170" s="8">
        <v>10</v>
      </c>
      <c r="B170" s="8">
        <v>35.990909090909092</v>
      </c>
      <c r="G170" s="8">
        <v>11</v>
      </c>
      <c r="H170" s="8">
        <v>44.56</v>
      </c>
      <c r="J170" s="8">
        <f t="shared" si="2"/>
        <v>45.314100163598496</v>
      </c>
      <c r="K170" s="8">
        <f t="shared" si="4"/>
        <v>52.838987099856666</v>
      </c>
    </row>
    <row r="171" spans="1:11">
      <c r="A171" s="8">
        <v>11</v>
      </c>
      <c r="B171" s="8">
        <v>35.990909090909092</v>
      </c>
      <c r="G171" s="8">
        <v>12</v>
      </c>
      <c r="H171" s="8">
        <v>45.69</v>
      </c>
      <c r="J171" s="8">
        <f t="shared" si="2"/>
        <v>45.314100163598496</v>
      </c>
      <c r="K171" s="8">
        <f t="shared" si="4"/>
        <v>52.838987099856666</v>
      </c>
    </row>
    <row r="172" spans="1:11">
      <c r="A172" s="8">
        <v>12</v>
      </c>
      <c r="B172" s="8">
        <v>35.990909090909092</v>
      </c>
      <c r="G172" s="8">
        <v>1699</v>
      </c>
      <c r="H172" s="8">
        <v>45.69</v>
      </c>
      <c r="J172" s="8">
        <f t="shared" si="2"/>
        <v>45.314100163598496</v>
      </c>
      <c r="K172" s="8">
        <f t="shared" si="4"/>
        <v>52.838987099856666</v>
      </c>
    </row>
    <row r="173" spans="1:11">
      <c r="A173" s="8">
        <v>1703</v>
      </c>
      <c r="B173" s="8">
        <v>35.018181818181816</v>
      </c>
      <c r="G173" s="8">
        <v>2</v>
      </c>
      <c r="H173" s="8">
        <v>46</v>
      </c>
      <c r="J173" s="8">
        <f t="shared" si="2"/>
        <v>45.314100163598496</v>
      </c>
      <c r="K173" s="8">
        <f t="shared" si="4"/>
        <v>52.838987099856666</v>
      </c>
    </row>
    <row r="174" spans="1:11">
      <c r="A174" s="8">
        <v>2</v>
      </c>
      <c r="B174" s="8">
        <v>35.018181818181816</v>
      </c>
      <c r="G174" s="8">
        <v>3</v>
      </c>
      <c r="H174" s="8">
        <v>45.62</v>
      </c>
      <c r="J174" s="8">
        <f t="shared" si="2"/>
        <v>45.314100163598496</v>
      </c>
      <c r="K174" s="8">
        <f t="shared" si="4"/>
        <v>52.838987099856666</v>
      </c>
    </row>
    <row r="175" spans="1:11">
      <c r="A175" s="8">
        <v>3</v>
      </c>
      <c r="B175" s="8">
        <v>35.018181818181816</v>
      </c>
      <c r="G175" s="8">
        <v>4</v>
      </c>
      <c r="H175" s="8">
        <v>45.69</v>
      </c>
      <c r="J175" s="8">
        <f t="shared" si="2"/>
        <v>45.314100163598496</v>
      </c>
      <c r="K175" s="8">
        <f t="shared" si="4"/>
        <v>52.838987099856666</v>
      </c>
    </row>
    <row r="176" spans="1:11">
      <c r="A176" s="8">
        <v>4</v>
      </c>
      <c r="B176" s="8">
        <v>35.018181818181816</v>
      </c>
      <c r="G176" s="8">
        <v>5</v>
      </c>
      <c r="H176" s="8">
        <v>45.5</v>
      </c>
      <c r="J176" s="8">
        <f t="shared" si="2"/>
        <v>45.314100163598496</v>
      </c>
      <c r="K176" s="8">
        <f t="shared" si="4"/>
        <v>52.838987099856666</v>
      </c>
    </row>
    <row r="177" spans="1:11">
      <c r="A177" s="8">
        <v>5</v>
      </c>
      <c r="B177" s="8">
        <v>35.018181818181816</v>
      </c>
      <c r="G177" s="8">
        <v>6</v>
      </c>
      <c r="H177" s="8">
        <v>45.75</v>
      </c>
      <c r="J177" s="8">
        <f t="shared" si="2"/>
        <v>45.314100163598496</v>
      </c>
      <c r="K177" s="8">
        <f t="shared" si="4"/>
        <v>52.838987099856666</v>
      </c>
    </row>
    <row r="178" spans="1:11">
      <c r="A178" s="8">
        <v>6</v>
      </c>
      <c r="B178" s="8">
        <v>35.018181818181816</v>
      </c>
      <c r="G178" s="8">
        <v>7</v>
      </c>
      <c r="H178" s="8">
        <v>45.75</v>
      </c>
      <c r="J178" s="8">
        <f t="shared" si="2"/>
        <v>45.314100163598496</v>
      </c>
      <c r="K178" s="8">
        <f t="shared" si="4"/>
        <v>52.838987099856666</v>
      </c>
    </row>
    <row r="179" spans="1:11">
      <c r="A179" s="8">
        <v>7</v>
      </c>
      <c r="B179" s="8">
        <v>35.018181818181816</v>
      </c>
      <c r="G179" s="8">
        <v>8</v>
      </c>
      <c r="H179" s="8">
        <v>46.62</v>
      </c>
      <c r="J179" s="8">
        <f t="shared" si="2"/>
        <v>45.314100163598496</v>
      </c>
      <c r="K179" s="8">
        <f t="shared" si="4"/>
        <v>52.838987099856666</v>
      </c>
    </row>
    <row r="180" spans="1:11">
      <c r="A180" s="8">
        <v>8</v>
      </c>
      <c r="B180" s="8">
        <v>34.854545454545452</v>
      </c>
      <c r="G180" s="8">
        <v>9</v>
      </c>
      <c r="H180" s="8">
        <v>47.06</v>
      </c>
      <c r="J180" s="8">
        <f t="shared" ref="J180:J243" si="5">4608/2093*240*3/B133</f>
        <v>45.314100163598496</v>
      </c>
      <c r="K180" s="8">
        <f t="shared" si="4"/>
        <v>52.838987099856666</v>
      </c>
    </row>
    <row r="181" spans="1:11">
      <c r="A181" s="8">
        <v>9</v>
      </c>
      <c r="B181" s="8">
        <v>34.854545454545452</v>
      </c>
      <c r="G181" s="8">
        <v>10</v>
      </c>
      <c r="H181" s="8">
        <v>48</v>
      </c>
      <c r="J181" s="8">
        <f t="shared" si="5"/>
        <v>45.314100163598496</v>
      </c>
      <c r="K181" s="8">
        <f t="shared" ref="K181:K203" si="6">4608/2093*720/33.5</f>
        <v>47.318495910319399</v>
      </c>
    </row>
    <row r="182" spans="1:11">
      <c r="A182" s="8">
        <v>10</v>
      </c>
      <c r="B182" s="8">
        <v>34.045454545454547</v>
      </c>
      <c r="G182" s="8">
        <v>11</v>
      </c>
      <c r="H182" s="8">
        <v>48.06</v>
      </c>
      <c r="J182" s="8">
        <f t="shared" si="5"/>
        <v>45.314100163598496</v>
      </c>
      <c r="K182" s="8">
        <f t="shared" si="6"/>
        <v>47.318495910319399</v>
      </c>
    </row>
    <row r="183" spans="1:11">
      <c r="A183" s="8">
        <v>11</v>
      </c>
      <c r="B183" s="8">
        <v>34.045454545454547</v>
      </c>
      <c r="G183" s="8">
        <v>12</v>
      </c>
      <c r="H183" s="8">
        <v>47.75</v>
      </c>
      <c r="J183" s="8">
        <f t="shared" si="5"/>
        <v>45.314100163598496</v>
      </c>
      <c r="K183" s="8">
        <f t="shared" si="6"/>
        <v>47.318495910319399</v>
      </c>
    </row>
    <row r="184" spans="1:11">
      <c r="A184" s="8">
        <v>12</v>
      </c>
      <c r="B184" s="8">
        <v>34.045454545454547</v>
      </c>
      <c r="G184" s="8">
        <v>1700</v>
      </c>
      <c r="H184" s="8">
        <v>47</v>
      </c>
      <c r="J184" s="8">
        <f t="shared" si="5"/>
        <v>45.90460903765355</v>
      </c>
      <c r="K184" s="8">
        <f t="shared" si="6"/>
        <v>47.318495910319399</v>
      </c>
    </row>
    <row r="185" spans="1:11">
      <c r="A185" s="8">
        <v>1704</v>
      </c>
      <c r="B185" s="8">
        <v>34.045454545454547</v>
      </c>
      <c r="G185" s="8">
        <v>2</v>
      </c>
      <c r="H185" s="8">
        <v>47.62</v>
      </c>
      <c r="J185" s="8">
        <f t="shared" si="5"/>
        <v>46.560389166762889</v>
      </c>
      <c r="K185" s="8">
        <f t="shared" si="6"/>
        <v>47.318495910319399</v>
      </c>
    </row>
    <row r="186" spans="1:11">
      <c r="A186" s="8">
        <v>2</v>
      </c>
      <c r="B186" s="8">
        <v>34.045454545454547</v>
      </c>
      <c r="G186" s="8">
        <v>3</v>
      </c>
      <c r="H186" s="8">
        <v>46.56</v>
      </c>
      <c r="J186" s="8">
        <f t="shared" si="5"/>
        <v>46.560389166762889</v>
      </c>
      <c r="K186" s="8">
        <f t="shared" si="6"/>
        <v>47.318495910319399</v>
      </c>
    </row>
    <row r="187" spans="1:11">
      <c r="A187" s="8">
        <v>3</v>
      </c>
      <c r="B187" s="8">
        <v>34.045454545454547</v>
      </c>
      <c r="G187" s="8">
        <v>4</v>
      </c>
      <c r="H187" s="8">
        <v>46.5</v>
      </c>
      <c r="J187" s="8">
        <f t="shared" si="5"/>
        <v>47.235177415556549</v>
      </c>
      <c r="K187" s="8">
        <f t="shared" si="6"/>
        <v>47.318495910319399</v>
      </c>
    </row>
    <row r="188" spans="1:11">
      <c r="A188" s="8">
        <v>4</v>
      </c>
      <c r="B188" s="8">
        <v>34.045454545454547</v>
      </c>
      <c r="G188" s="8">
        <v>5</v>
      </c>
      <c r="H188" s="8">
        <v>45.69</v>
      </c>
      <c r="I188" s="8">
        <v>46.56</v>
      </c>
      <c r="J188" s="8">
        <f t="shared" si="5"/>
        <v>47.235177415556549</v>
      </c>
      <c r="K188" s="8">
        <f t="shared" si="6"/>
        <v>47.318495910319399</v>
      </c>
    </row>
    <row r="189" spans="1:11">
      <c r="A189" s="8">
        <v>5</v>
      </c>
      <c r="B189" s="8">
        <v>33.559090909090912</v>
      </c>
      <c r="G189" s="8">
        <v>6</v>
      </c>
      <c r="H189" s="8">
        <v>46.19</v>
      </c>
      <c r="J189" s="8">
        <f t="shared" si="5"/>
        <v>47.929812377550036</v>
      </c>
      <c r="K189" s="8">
        <f t="shared" si="6"/>
        <v>47.318495910319399</v>
      </c>
    </row>
    <row r="190" spans="1:11">
      <c r="A190" s="8">
        <v>6</v>
      </c>
      <c r="B190" s="8">
        <v>38.904545454545456</v>
      </c>
      <c r="G190" s="8">
        <v>7</v>
      </c>
      <c r="H190" s="8">
        <v>46.12</v>
      </c>
      <c r="J190" s="8">
        <f t="shared" si="5"/>
        <v>47.929812377550036</v>
      </c>
      <c r="K190" s="8">
        <f t="shared" si="6"/>
        <v>47.318495910319399</v>
      </c>
    </row>
    <row r="191" spans="1:11">
      <c r="A191" s="8">
        <v>7</v>
      </c>
      <c r="B191" s="8">
        <v>38.904545454545456</v>
      </c>
      <c r="G191" s="8">
        <v>8</v>
      </c>
      <c r="H191" s="8">
        <v>45.81</v>
      </c>
      <c r="J191" s="8">
        <f t="shared" si="5"/>
        <v>47.929812377550036</v>
      </c>
      <c r="K191" s="8">
        <f t="shared" si="6"/>
        <v>47.318495910319399</v>
      </c>
    </row>
    <row r="192" spans="1:11">
      <c r="A192" s="8">
        <v>8</v>
      </c>
      <c r="B192" s="8">
        <v>38.904545454545456</v>
      </c>
      <c r="G192" s="8">
        <v>9</v>
      </c>
      <c r="H192" s="8">
        <v>46</v>
      </c>
      <c r="J192" s="8">
        <f t="shared" si="5"/>
        <v>47.929812377550036</v>
      </c>
      <c r="K192" s="8">
        <f t="shared" si="6"/>
        <v>47.318495910319399</v>
      </c>
    </row>
    <row r="193" spans="1:11">
      <c r="A193" s="8">
        <v>9</v>
      </c>
      <c r="B193" s="8">
        <v>38.904545454545456</v>
      </c>
      <c r="G193" s="8">
        <v>10</v>
      </c>
      <c r="H193" s="8">
        <v>45.5</v>
      </c>
      <c r="J193" s="8">
        <f t="shared" si="5"/>
        <v>47.929812377550036</v>
      </c>
      <c r="K193" s="8">
        <f t="shared" si="6"/>
        <v>47.318495910319399</v>
      </c>
    </row>
    <row r="194" spans="1:11">
      <c r="A194" s="8">
        <v>10</v>
      </c>
      <c r="B194" s="8">
        <v>38.904545454545456</v>
      </c>
      <c r="G194" s="8">
        <v>11</v>
      </c>
      <c r="H194" s="8">
        <v>45.12</v>
      </c>
      <c r="J194" s="8">
        <f t="shared" si="5"/>
        <v>47.929812377550036</v>
      </c>
      <c r="K194" s="8">
        <f t="shared" si="6"/>
        <v>47.318495910319399</v>
      </c>
    </row>
    <row r="195" spans="1:11">
      <c r="A195" s="8">
        <v>11</v>
      </c>
      <c r="B195" s="8">
        <v>38.904545454545456</v>
      </c>
      <c r="G195" s="8">
        <v>12</v>
      </c>
      <c r="H195" s="8">
        <v>45</v>
      </c>
      <c r="J195" s="8">
        <f t="shared" si="5"/>
        <v>47.929812377550036</v>
      </c>
      <c r="K195" s="8">
        <f t="shared" si="6"/>
        <v>47.318495910319399</v>
      </c>
    </row>
    <row r="196" spans="1:11">
      <c r="A196" s="8">
        <v>12</v>
      </c>
      <c r="B196" s="8">
        <v>38.904545454545456</v>
      </c>
      <c r="G196" s="8">
        <v>1701</v>
      </c>
      <c r="H196" s="8">
        <v>45</v>
      </c>
      <c r="I196" s="8">
        <v>45.38</v>
      </c>
      <c r="J196" s="8">
        <f t="shared" si="5"/>
        <v>48.64518271154332</v>
      </c>
      <c r="K196" s="8">
        <f t="shared" si="6"/>
        <v>47.318495910319399</v>
      </c>
    </row>
    <row r="197" spans="1:11">
      <c r="A197" s="8">
        <v>1705</v>
      </c>
      <c r="B197" s="8">
        <v>38.904545454545456</v>
      </c>
      <c r="G197" s="8">
        <v>2</v>
      </c>
      <c r="H197" s="8">
        <v>42</v>
      </c>
      <c r="J197" s="8">
        <f t="shared" si="5"/>
        <v>48.64518271154332</v>
      </c>
      <c r="K197" s="8">
        <f t="shared" si="6"/>
        <v>47.318495910319399</v>
      </c>
    </row>
    <row r="198" spans="1:11">
      <c r="A198" s="8">
        <v>2</v>
      </c>
      <c r="B198" s="8">
        <v>38.422727272727272</v>
      </c>
      <c r="G198" s="8">
        <v>3</v>
      </c>
      <c r="H198" s="8">
        <v>43.31</v>
      </c>
      <c r="J198" s="8">
        <f t="shared" si="5"/>
        <v>48.64518271154332</v>
      </c>
      <c r="K198" s="8">
        <f t="shared" si="6"/>
        <v>47.318495910319399</v>
      </c>
    </row>
    <row r="199" spans="1:11">
      <c r="A199" s="8">
        <v>3</v>
      </c>
      <c r="B199" s="8">
        <v>38.422727272727272</v>
      </c>
      <c r="G199" s="8">
        <v>4</v>
      </c>
      <c r="H199" s="8">
        <v>45</v>
      </c>
      <c r="J199" s="8">
        <f t="shared" si="5"/>
        <v>49.382230934445488</v>
      </c>
      <c r="K199" s="8">
        <f t="shared" si="6"/>
        <v>47.318495910319399</v>
      </c>
    </row>
    <row r="200" spans="1:11">
      <c r="A200" s="8">
        <v>4</v>
      </c>
      <c r="B200" s="8">
        <v>38.422727272727272</v>
      </c>
      <c r="G200" s="8">
        <v>5</v>
      </c>
      <c r="H200" s="8">
        <v>46</v>
      </c>
      <c r="J200" s="8">
        <f t="shared" si="5"/>
        <v>49.382230934445488</v>
      </c>
      <c r="K200" s="8">
        <f t="shared" si="6"/>
        <v>47.318495910319399</v>
      </c>
    </row>
    <row r="201" spans="1:11">
      <c r="A201" s="8">
        <v>5</v>
      </c>
      <c r="B201" s="8">
        <v>38.422727272727272</v>
      </c>
      <c r="G201" s="8">
        <v>6</v>
      </c>
      <c r="H201" s="8">
        <v>47.94</v>
      </c>
      <c r="J201" s="8">
        <f t="shared" si="5"/>
        <v>49.382230934445488</v>
      </c>
      <c r="K201" s="8">
        <f t="shared" si="6"/>
        <v>47.318495910319399</v>
      </c>
    </row>
    <row r="202" spans="1:11">
      <c r="A202" s="8">
        <v>6</v>
      </c>
      <c r="B202" s="8">
        <v>38.422727272727272</v>
      </c>
      <c r="G202" s="8">
        <v>7</v>
      </c>
      <c r="H202" s="8">
        <v>46.75</v>
      </c>
      <c r="J202" s="8">
        <f t="shared" si="5"/>
        <v>50.141957564206187</v>
      </c>
      <c r="K202" s="8">
        <f t="shared" si="6"/>
        <v>47.318495910319399</v>
      </c>
    </row>
    <row r="203" spans="1:11">
      <c r="A203" s="8">
        <v>7</v>
      </c>
      <c r="B203" s="8">
        <v>37.936363636363637</v>
      </c>
      <c r="G203" s="8">
        <v>8</v>
      </c>
      <c r="H203" s="8">
        <v>46.44</v>
      </c>
      <c r="J203" s="8">
        <f t="shared" si="5"/>
        <v>50.141957564206187</v>
      </c>
      <c r="K203" s="8">
        <f t="shared" si="6"/>
        <v>47.318495910319399</v>
      </c>
    </row>
    <row r="204" spans="1:11">
      <c r="A204" s="8">
        <v>8</v>
      </c>
      <c r="B204" s="8">
        <v>37.936363636363637</v>
      </c>
      <c r="G204" s="8">
        <v>9</v>
      </c>
      <c r="H204" s="8">
        <v>44.5</v>
      </c>
      <c r="J204" s="8">
        <f t="shared" si="5"/>
        <v>48.281505587574976</v>
      </c>
      <c r="K204" s="8">
        <f t="shared" ref="K204:K228" si="7">4608/2093*720/32.8</f>
        <v>48.328341859624999</v>
      </c>
    </row>
    <row r="205" spans="1:11">
      <c r="A205" s="8">
        <v>9</v>
      </c>
      <c r="B205" s="8">
        <v>37.690909090909088</v>
      </c>
      <c r="G205" s="8">
        <v>10</v>
      </c>
      <c r="H205" s="8">
        <v>41.5</v>
      </c>
      <c r="J205" s="8">
        <f t="shared" si="5"/>
        <v>42.884568969386876</v>
      </c>
      <c r="K205" s="8">
        <f t="shared" si="7"/>
        <v>48.328341859624999</v>
      </c>
    </row>
    <row r="206" spans="1:11">
      <c r="A206" s="8">
        <v>10</v>
      </c>
      <c r="B206" s="8">
        <v>37.690909090909088</v>
      </c>
      <c r="G206" s="8">
        <v>11</v>
      </c>
      <c r="H206" s="8">
        <v>42.75</v>
      </c>
      <c r="J206" s="8">
        <f t="shared" si="5"/>
        <v>42.884568969386876</v>
      </c>
      <c r="K206" s="8">
        <f t="shared" si="7"/>
        <v>48.328341859624999</v>
      </c>
    </row>
    <row r="207" spans="1:11">
      <c r="A207" s="8">
        <v>11</v>
      </c>
      <c r="B207" s="8">
        <v>37.690909090909088</v>
      </c>
      <c r="G207" s="8">
        <v>12</v>
      </c>
      <c r="H207" s="8">
        <v>42.25</v>
      </c>
      <c r="J207" s="8">
        <f t="shared" si="5"/>
        <v>42.884568969386876</v>
      </c>
      <c r="K207" s="8">
        <f t="shared" si="7"/>
        <v>48.328341859624999</v>
      </c>
    </row>
    <row r="208" spans="1:11">
      <c r="A208" s="8">
        <v>12</v>
      </c>
      <c r="B208" s="8">
        <v>37.690909090909088</v>
      </c>
      <c r="G208" s="8">
        <v>1702</v>
      </c>
      <c r="H208" s="8">
        <v>43.38</v>
      </c>
      <c r="J208" s="8">
        <f t="shared" si="5"/>
        <v>42.884568969386876</v>
      </c>
      <c r="K208" s="8">
        <f t="shared" si="7"/>
        <v>48.328341859624999</v>
      </c>
    </row>
    <row r="209" spans="1:11">
      <c r="A209" s="8">
        <v>1706</v>
      </c>
      <c r="B209" s="8">
        <v>36.963636363636361</v>
      </c>
      <c r="G209" s="8">
        <v>2</v>
      </c>
      <c r="H209" s="8">
        <v>43.75</v>
      </c>
      <c r="J209" s="8">
        <f t="shared" si="5"/>
        <v>42.884568969386876</v>
      </c>
      <c r="K209" s="8">
        <f t="shared" si="7"/>
        <v>48.328341859624999</v>
      </c>
    </row>
    <row r="210" spans="1:11">
      <c r="A210" s="8">
        <v>2</v>
      </c>
      <c r="B210" s="8">
        <v>36.963636363636361</v>
      </c>
      <c r="G210" s="8">
        <v>3</v>
      </c>
      <c r="H210" s="8">
        <v>44</v>
      </c>
      <c r="J210" s="8">
        <f t="shared" si="5"/>
        <v>42.884568969386876</v>
      </c>
      <c r="K210" s="8">
        <f t="shared" si="7"/>
        <v>48.328341859624999</v>
      </c>
    </row>
    <row r="211" spans="1:11">
      <c r="A211" s="8">
        <v>3</v>
      </c>
      <c r="B211" s="8">
        <v>35.018181818181816</v>
      </c>
      <c r="G211" s="8">
        <v>4</v>
      </c>
      <c r="H211" s="8">
        <v>44.38</v>
      </c>
      <c r="J211" s="8">
        <f t="shared" si="5"/>
        <v>42.884568969386876</v>
      </c>
      <c r="K211" s="8">
        <f t="shared" si="7"/>
        <v>48.328341859624999</v>
      </c>
    </row>
    <row r="212" spans="1:11">
      <c r="A212" s="8">
        <v>4</v>
      </c>
      <c r="B212" s="8">
        <v>35.018181818181816</v>
      </c>
      <c r="G212" s="8">
        <v>5</v>
      </c>
      <c r="J212" s="8">
        <f t="shared" si="5"/>
        <v>42.884568969386876</v>
      </c>
      <c r="K212" s="8">
        <f t="shared" si="7"/>
        <v>48.328341859624999</v>
      </c>
    </row>
    <row r="213" spans="1:11">
      <c r="A213" s="8">
        <v>5</v>
      </c>
      <c r="B213" s="8">
        <v>35.018181818181816</v>
      </c>
      <c r="G213" s="8">
        <v>6</v>
      </c>
      <c r="J213" s="8">
        <f t="shared" si="5"/>
        <v>42.884568969386876</v>
      </c>
      <c r="K213" s="8">
        <f t="shared" si="7"/>
        <v>48.328341859624999</v>
      </c>
    </row>
    <row r="214" spans="1:11">
      <c r="A214" s="8">
        <v>6</v>
      </c>
      <c r="B214" s="8">
        <v>35.018181818181816</v>
      </c>
      <c r="G214" s="8">
        <v>7</v>
      </c>
      <c r="J214" s="8">
        <f t="shared" si="5"/>
        <v>42.884568969386876</v>
      </c>
      <c r="K214" s="8">
        <f t="shared" si="7"/>
        <v>48.328341859624999</v>
      </c>
    </row>
    <row r="215" spans="1:11">
      <c r="A215" s="8">
        <v>7</v>
      </c>
      <c r="B215" s="8">
        <v>35.018181818181816</v>
      </c>
      <c r="G215" s="8">
        <v>8</v>
      </c>
      <c r="J215" s="8">
        <f t="shared" si="5"/>
        <v>42.884568969386876</v>
      </c>
      <c r="K215" s="8">
        <f t="shared" si="7"/>
        <v>48.328341859624999</v>
      </c>
    </row>
    <row r="216" spans="1:11">
      <c r="A216" s="8">
        <v>8</v>
      </c>
      <c r="B216" s="8">
        <v>35.018181818181816</v>
      </c>
      <c r="G216" s="8">
        <v>9</v>
      </c>
      <c r="J216" s="8">
        <f t="shared" si="5"/>
        <v>44.043611373964893</v>
      </c>
      <c r="K216" s="8">
        <f t="shared" si="7"/>
        <v>48.328341859624999</v>
      </c>
    </row>
    <row r="217" spans="1:11">
      <c r="A217" s="8">
        <v>9</v>
      </c>
      <c r="B217" s="8">
        <v>35.018181818181816</v>
      </c>
      <c r="G217" s="8">
        <v>10</v>
      </c>
      <c r="J217" s="8">
        <f t="shared" si="5"/>
        <v>44.043611373964893</v>
      </c>
      <c r="K217" s="8">
        <f t="shared" si="7"/>
        <v>48.328341859624999</v>
      </c>
    </row>
    <row r="218" spans="1:11">
      <c r="A218" s="8">
        <v>10</v>
      </c>
      <c r="B218" s="8">
        <v>35.018181818181816</v>
      </c>
      <c r="G218" s="8">
        <v>11</v>
      </c>
      <c r="J218" s="8">
        <f t="shared" si="5"/>
        <v>44.043611373964893</v>
      </c>
      <c r="K218" s="8">
        <f t="shared" si="7"/>
        <v>48.328341859624999</v>
      </c>
    </row>
    <row r="219" spans="1:11">
      <c r="A219" s="8">
        <v>11</v>
      </c>
      <c r="B219" s="8">
        <v>35.018181818181816</v>
      </c>
      <c r="G219" s="8">
        <v>12</v>
      </c>
      <c r="J219" s="8">
        <f t="shared" si="5"/>
        <v>44.043611373964893</v>
      </c>
      <c r="K219" s="8">
        <f t="shared" si="7"/>
        <v>48.328341859624999</v>
      </c>
    </row>
    <row r="220" spans="1:11">
      <c r="A220" s="8">
        <v>12</v>
      </c>
      <c r="B220" s="8">
        <v>35.018181818181816</v>
      </c>
      <c r="G220" s="8">
        <v>1703</v>
      </c>
      <c r="J220" s="8">
        <f t="shared" si="5"/>
        <v>45.2670450232417</v>
      </c>
      <c r="K220" s="8">
        <f t="shared" si="7"/>
        <v>48.328341859624999</v>
      </c>
    </row>
    <row r="221" spans="1:11">
      <c r="A221" s="8">
        <v>1707</v>
      </c>
      <c r="B221" s="8">
        <v>34.540909090909089</v>
      </c>
      <c r="G221" s="8">
        <v>2</v>
      </c>
      <c r="J221" s="8">
        <f t="shared" si="5"/>
        <v>45.2670450232417</v>
      </c>
      <c r="K221" s="8">
        <f t="shared" si="7"/>
        <v>48.328341859624999</v>
      </c>
    </row>
    <row r="222" spans="1:11">
      <c r="A222" s="8">
        <v>2</v>
      </c>
      <c r="B222" s="8">
        <v>34.540909090909089</v>
      </c>
      <c r="G222" s="8">
        <v>3</v>
      </c>
      <c r="J222" s="8">
        <f t="shared" si="5"/>
        <v>45.2670450232417</v>
      </c>
      <c r="K222" s="8">
        <f t="shared" si="7"/>
        <v>48.328341859624999</v>
      </c>
    </row>
    <row r="223" spans="1:11">
      <c r="A223" s="8">
        <v>3</v>
      </c>
      <c r="B223" s="8">
        <v>34.540909090909089</v>
      </c>
      <c r="G223" s="8">
        <v>4</v>
      </c>
      <c r="J223" s="8">
        <f t="shared" si="5"/>
        <v>45.2670450232417</v>
      </c>
      <c r="K223" s="8">
        <f t="shared" si="7"/>
        <v>48.328341859624999</v>
      </c>
    </row>
    <row r="224" spans="1:11">
      <c r="A224" s="8">
        <v>4</v>
      </c>
      <c r="B224" s="8">
        <v>34.540909090909089</v>
      </c>
      <c r="G224" s="8">
        <v>5</v>
      </c>
      <c r="J224" s="8">
        <f t="shared" si="5"/>
        <v>45.2670450232417</v>
      </c>
      <c r="K224" s="8">
        <f t="shared" si="7"/>
        <v>48.328341859624999</v>
      </c>
    </row>
    <row r="225" spans="1:11">
      <c r="A225" s="8">
        <v>5</v>
      </c>
      <c r="B225" s="8">
        <v>34.540909090909089</v>
      </c>
      <c r="G225" s="8">
        <v>6</v>
      </c>
      <c r="J225" s="8">
        <f t="shared" si="5"/>
        <v>45.2670450232417</v>
      </c>
      <c r="K225" s="8">
        <f t="shared" si="7"/>
        <v>48.328341859624999</v>
      </c>
    </row>
    <row r="226" spans="1:11">
      <c r="A226" s="8">
        <v>6</v>
      </c>
      <c r="B226" s="8">
        <v>34.540909090909089</v>
      </c>
      <c r="G226" s="8">
        <v>7</v>
      </c>
      <c r="J226" s="8">
        <f t="shared" si="5"/>
        <v>45.2670450232417</v>
      </c>
      <c r="K226" s="8">
        <f t="shared" si="7"/>
        <v>48.328341859624999</v>
      </c>
    </row>
    <row r="227" spans="1:11">
      <c r="A227" s="8">
        <v>7</v>
      </c>
      <c r="B227" s="8">
        <v>34.540909090909089</v>
      </c>
      <c r="G227" s="8">
        <v>8</v>
      </c>
      <c r="J227" s="8">
        <f t="shared" si="5"/>
        <v>45.479566361378986</v>
      </c>
      <c r="K227" s="8">
        <f t="shared" si="7"/>
        <v>48.328341859624999</v>
      </c>
    </row>
    <row r="228" spans="1:11">
      <c r="A228" s="8">
        <v>8</v>
      </c>
      <c r="B228" s="8">
        <v>47.4</v>
      </c>
      <c r="G228" s="8">
        <v>9</v>
      </c>
      <c r="J228" s="8">
        <f t="shared" si="5"/>
        <v>45.479566361378986</v>
      </c>
      <c r="K228" s="8">
        <f t="shared" si="7"/>
        <v>48.328341859624999</v>
      </c>
    </row>
    <row r="229" spans="1:11">
      <c r="A229" s="8">
        <v>9</v>
      </c>
      <c r="B229" s="8">
        <v>47.4</v>
      </c>
      <c r="G229" s="8">
        <v>10</v>
      </c>
      <c r="J229" s="8">
        <f t="shared" si="5"/>
        <v>46.560389166762889</v>
      </c>
      <c r="K229" s="8">
        <f t="shared" ref="K229:K260" si="8">4608/2093*720/34</f>
        <v>46.622635676344117</v>
      </c>
    </row>
    <row r="230" spans="1:11">
      <c r="A230" s="8">
        <v>10</v>
      </c>
      <c r="B230" s="8">
        <v>47.4</v>
      </c>
      <c r="G230" s="8">
        <v>11</v>
      </c>
      <c r="J230" s="8">
        <f t="shared" si="5"/>
        <v>46.560389166762889</v>
      </c>
      <c r="K230" s="8">
        <f t="shared" si="8"/>
        <v>46.622635676344117</v>
      </c>
    </row>
    <row r="231" spans="1:11">
      <c r="A231" s="8">
        <v>11</v>
      </c>
      <c r="B231" s="8">
        <v>47.4</v>
      </c>
      <c r="G231" s="8">
        <v>12</v>
      </c>
      <c r="J231" s="8">
        <f t="shared" si="5"/>
        <v>46.560389166762889</v>
      </c>
      <c r="K231" s="8">
        <f t="shared" si="8"/>
        <v>46.622635676344117</v>
      </c>
    </row>
    <row r="232" spans="1:11">
      <c r="A232" s="8">
        <v>12</v>
      </c>
      <c r="B232" s="8">
        <v>47.4</v>
      </c>
      <c r="G232" s="8">
        <v>1704</v>
      </c>
      <c r="J232" s="8">
        <f t="shared" si="5"/>
        <v>46.560389166762889</v>
      </c>
      <c r="K232" s="8">
        <f t="shared" si="8"/>
        <v>46.622635676344117</v>
      </c>
    </row>
    <row r="233" spans="1:11">
      <c r="A233" s="8">
        <v>1708</v>
      </c>
      <c r="B233" s="8">
        <v>47.4</v>
      </c>
      <c r="G233" s="8">
        <v>2</v>
      </c>
      <c r="J233" s="8">
        <f t="shared" si="5"/>
        <v>46.560389166762889</v>
      </c>
      <c r="K233" s="8">
        <f t="shared" si="8"/>
        <v>46.622635676344117</v>
      </c>
    </row>
    <row r="234" spans="1:11">
      <c r="A234" s="8">
        <v>2</v>
      </c>
      <c r="B234" s="8">
        <v>47.4</v>
      </c>
      <c r="G234" s="8">
        <v>3</v>
      </c>
      <c r="J234" s="8">
        <f t="shared" si="5"/>
        <v>46.560389166762889</v>
      </c>
      <c r="K234" s="8">
        <f t="shared" si="8"/>
        <v>46.622635676344117</v>
      </c>
    </row>
    <row r="235" spans="1:11">
      <c r="A235" s="8">
        <v>3</v>
      </c>
      <c r="B235" s="8">
        <v>42.66</v>
      </c>
      <c r="G235" s="8">
        <v>4</v>
      </c>
      <c r="J235" s="8">
        <f t="shared" si="5"/>
        <v>46.560389166762889</v>
      </c>
      <c r="K235" s="8">
        <f t="shared" si="8"/>
        <v>46.622635676344117</v>
      </c>
    </row>
    <row r="236" spans="1:11">
      <c r="A236" s="8">
        <v>4</v>
      </c>
      <c r="B236" s="8">
        <v>42.66</v>
      </c>
      <c r="G236" s="8">
        <v>5</v>
      </c>
      <c r="J236" s="8">
        <f t="shared" si="5"/>
        <v>47.235177415556549</v>
      </c>
      <c r="K236" s="8">
        <f t="shared" si="8"/>
        <v>46.622635676344117</v>
      </c>
    </row>
    <row r="237" spans="1:11">
      <c r="A237" s="8">
        <v>5</v>
      </c>
      <c r="B237" s="8">
        <v>42.66</v>
      </c>
      <c r="G237" s="8">
        <v>6</v>
      </c>
      <c r="J237" s="8">
        <f t="shared" si="5"/>
        <v>40.745100462560352</v>
      </c>
      <c r="K237" s="8">
        <f t="shared" si="8"/>
        <v>46.622635676344117</v>
      </c>
    </row>
    <row r="238" spans="1:11">
      <c r="A238" s="8">
        <v>6</v>
      </c>
      <c r="B238" s="8">
        <v>37.92</v>
      </c>
      <c r="G238" s="8">
        <v>7</v>
      </c>
      <c r="J238" s="8">
        <f t="shared" si="5"/>
        <v>40.745100462560352</v>
      </c>
      <c r="K238" s="8">
        <f t="shared" si="8"/>
        <v>46.622635676344117</v>
      </c>
    </row>
    <row r="239" spans="1:11">
      <c r="A239" s="8">
        <v>7</v>
      </c>
      <c r="B239" s="8">
        <v>37.92</v>
      </c>
      <c r="G239" s="8">
        <v>8</v>
      </c>
      <c r="J239" s="8">
        <f t="shared" si="5"/>
        <v>40.745100462560352</v>
      </c>
      <c r="K239" s="8">
        <f t="shared" si="8"/>
        <v>46.622635676344117</v>
      </c>
    </row>
    <row r="240" spans="1:11">
      <c r="A240" s="8">
        <v>8</v>
      </c>
      <c r="B240" s="8">
        <v>36.734999999999999</v>
      </c>
      <c r="G240" s="8">
        <v>9</v>
      </c>
      <c r="J240" s="8">
        <f t="shared" si="5"/>
        <v>40.745100462560352</v>
      </c>
      <c r="K240" s="8">
        <f t="shared" si="8"/>
        <v>46.622635676344117</v>
      </c>
    </row>
    <row r="241" spans="1:11">
      <c r="A241" s="8">
        <v>9</v>
      </c>
      <c r="B241" s="8">
        <v>36.734999999999999</v>
      </c>
      <c r="G241" s="8">
        <v>10</v>
      </c>
      <c r="J241" s="8">
        <f t="shared" si="5"/>
        <v>40.745100462560352</v>
      </c>
      <c r="K241" s="8">
        <f t="shared" si="8"/>
        <v>46.622635676344117</v>
      </c>
    </row>
    <row r="242" spans="1:11">
      <c r="A242" s="8">
        <v>10</v>
      </c>
      <c r="B242" s="8">
        <v>36.734999999999999</v>
      </c>
      <c r="G242" s="8">
        <v>11</v>
      </c>
      <c r="J242" s="8">
        <f t="shared" si="5"/>
        <v>40.745100462560352</v>
      </c>
      <c r="K242" s="8">
        <f t="shared" si="8"/>
        <v>46.622635676344117</v>
      </c>
    </row>
    <row r="243" spans="1:11">
      <c r="A243" s="8">
        <v>11</v>
      </c>
      <c r="B243" s="8">
        <v>36.734999999999999</v>
      </c>
      <c r="G243" s="8">
        <v>12</v>
      </c>
      <c r="J243" s="8">
        <f t="shared" si="5"/>
        <v>40.745100462560352</v>
      </c>
      <c r="K243" s="8">
        <f t="shared" si="8"/>
        <v>46.622635676344117</v>
      </c>
    </row>
    <row r="244" spans="1:11">
      <c r="A244" s="8">
        <v>12</v>
      </c>
      <c r="B244" s="8">
        <v>36.734999999999999</v>
      </c>
      <c r="G244" s="8">
        <v>1705</v>
      </c>
      <c r="J244" s="8">
        <f t="shared" ref="J244:J307" si="9">4608/2093*240*3/B197</f>
        <v>40.745100462560352</v>
      </c>
      <c r="K244" s="8">
        <f t="shared" si="8"/>
        <v>46.622635676344117</v>
      </c>
    </row>
    <row r="245" spans="1:11">
      <c r="A245" s="8">
        <v>1709</v>
      </c>
      <c r="B245" s="8">
        <v>33.272727272727273</v>
      </c>
      <c r="G245" s="8">
        <v>2</v>
      </c>
      <c r="J245" s="8">
        <f t="shared" si="9"/>
        <v>41.256041033840532</v>
      </c>
      <c r="K245" s="8">
        <f t="shared" si="8"/>
        <v>46.622635676344117</v>
      </c>
    </row>
    <row r="246" spans="1:11">
      <c r="A246" s="8">
        <v>2</v>
      </c>
      <c r="B246" s="8">
        <v>33.272727272727273</v>
      </c>
      <c r="G246" s="8">
        <v>3</v>
      </c>
      <c r="J246" s="8">
        <f t="shared" si="9"/>
        <v>41.256041033840532</v>
      </c>
      <c r="K246" s="8">
        <f t="shared" si="8"/>
        <v>46.622635676344117</v>
      </c>
    </row>
    <row r="247" spans="1:11">
      <c r="A247" s="8">
        <v>3</v>
      </c>
      <c r="B247" s="8">
        <v>31.618181818181817</v>
      </c>
      <c r="G247" s="8">
        <v>4</v>
      </c>
      <c r="I247" s="8">
        <v>44.63</v>
      </c>
      <c r="J247" s="8">
        <f t="shared" si="9"/>
        <v>41.256041033840532</v>
      </c>
      <c r="K247" s="8">
        <f t="shared" si="8"/>
        <v>46.622635676344117</v>
      </c>
    </row>
    <row r="248" spans="1:11">
      <c r="A248" s="8">
        <v>4</v>
      </c>
      <c r="B248" s="8">
        <v>31.618181818181817</v>
      </c>
      <c r="G248" s="8">
        <v>5</v>
      </c>
      <c r="J248" s="8">
        <f t="shared" si="9"/>
        <v>41.256041033840532</v>
      </c>
      <c r="K248" s="8">
        <f t="shared" si="8"/>
        <v>46.622635676344117</v>
      </c>
    </row>
    <row r="249" spans="1:11">
      <c r="A249" s="8">
        <v>5</v>
      </c>
      <c r="B249" s="8">
        <v>43.636363636363633</v>
      </c>
      <c r="G249" s="8">
        <v>6</v>
      </c>
      <c r="J249" s="8">
        <f t="shared" si="9"/>
        <v>41.256041033840532</v>
      </c>
      <c r="K249" s="8">
        <f t="shared" si="8"/>
        <v>46.622635676344117</v>
      </c>
    </row>
    <row r="250" spans="1:11">
      <c r="A250" s="8">
        <v>6</v>
      </c>
      <c r="B250" s="8">
        <v>43.636363636363633</v>
      </c>
      <c r="G250" s="8">
        <v>7</v>
      </c>
      <c r="J250" s="8">
        <f t="shared" si="9"/>
        <v>41.784964636838488</v>
      </c>
      <c r="K250" s="8">
        <f t="shared" si="8"/>
        <v>46.622635676344117</v>
      </c>
    </row>
    <row r="251" spans="1:11">
      <c r="A251" s="8">
        <v>7</v>
      </c>
      <c r="B251" s="8">
        <v>43.636363636363633</v>
      </c>
      <c r="G251" s="8">
        <v>8</v>
      </c>
      <c r="J251" s="8">
        <f t="shared" si="9"/>
        <v>41.784964636838488</v>
      </c>
      <c r="K251" s="8">
        <f t="shared" si="8"/>
        <v>46.622635676344117</v>
      </c>
    </row>
    <row r="252" spans="1:11">
      <c r="A252" s="8">
        <v>8</v>
      </c>
      <c r="B252" s="8">
        <v>43.636363636363633</v>
      </c>
      <c r="G252" s="8">
        <v>9</v>
      </c>
      <c r="J252" s="8">
        <f t="shared" si="9"/>
        <v>42.057080904372171</v>
      </c>
      <c r="K252" s="8">
        <f t="shared" si="8"/>
        <v>46.622635676344117</v>
      </c>
    </row>
    <row r="253" spans="1:11">
      <c r="A253" s="8">
        <v>9</v>
      </c>
      <c r="B253" s="8">
        <v>43.636363636363633</v>
      </c>
      <c r="G253" s="8">
        <v>10</v>
      </c>
      <c r="I253" s="8">
        <v>43.66</v>
      </c>
      <c r="J253" s="8">
        <f t="shared" si="9"/>
        <v>42.057080904372171</v>
      </c>
      <c r="K253" s="8">
        <f t="shared" si="8"/>
        <v>46.622635676344117</v>
      </c>
    </row>
    <row r="254" spans="1:11">
      <c r="A254" s="8">
        <v>10</v>
      </c>
      <c r="B254" s="8">
        <v>43.636363636363633</v>
      </c>
      <c r="G254" s="8">
        <v>11</v>
      </c>
      <c r="J254" s="8">
        <f t="shared" si="9"/>
        <v>42.057080904372171</v>
      </c>
      <c r="K254" s="8">
        <f t="shared" si="8"/>
        <v>46.622635676344117</v>
      </c>
    </row>
    <row r="255" spans="1:11">
      <c r="A255" s="8">
        <v>11</v>
      </c>
      <c r="B255" s="8">
        <v>43.636363636363633</v>
      </c>
      <c r="G255" s="8">
        <v>12</v>
      </c>
      <c r="J255" s="8">
        <f t="shared" si="9"/>
        <v>42.057080904372171</v>
      </c>
      <c r="K255" s="8">
        <f t="shared" si="8"/>
        <v>46.622635676344117</v>
      </c>
    </row>
    <row r="256" spans="1:11">
      <c r="A256" s="8">
        <v>12</v>
      </c>
      <c r="B256" s="8">
        <v>43.636363636363633</v>
      </c>
      <c r="G256" s="8">
        <v>1706</v>
      </c>
      <c r="J256" s="8">
        <f t="shared" si="9"/>
        <v>42.884568969386876</v>
      </c>
      <c r="K256" s="8">
        <f t="shared" si="8"/>
        <v>46.622635676344117</v>
      </c>
    </row>
    <row r="257" spans="1:11">
      <c r="A257" s="8">
        <v>1710</v>
      </c>
      <c r="B257" s="8">
        <v>43.636363636363633</v>
      </c>
      <c r="G257" s="8">
        <v>2</v>
      </c>
      <c r="J257" s="8">
        <f t="shared" si="9"/>
        <v>42.884568969386876</v>
      </c>
      <c r="K257" s="8">
        <f t="shared" si="8"/>
        <v>46.622635676344117</v>
      </c>
    </row>
    <row r="258" spans="1:11">
      <c r="A258" s="8">
        <v>2</v>
      </c>
      <c r="B258" s="8">
        <v>43.636363636363633</v>
      </c>
      <c r="G258" s="8">
        <v>3</v>
      </c>
      <c r="J258" s="8">
        <f t="shared" si="9"/>
        <v>45.2670450232417</v>
      </c>
      <c r="K258" s="8">
        <f t="shared" si="8"/>
        <v>46.622635676344117</v>
      </c>
    </row>
    <row r="259" spans="1:11">
      <c r="A259" s="8">
        <v>3</v>
      </c>
      <c r="B259" s="8">
        <v>43.636363636363633</v>
      </c>
      <c r="G259" s="8">
        <v>4</v>
      </c>
      <c r="J259" s="8">
        <f t="shared" si="9"/>
        <v>45.2670450232417</v>
      </c>
      <c r="K259" s="8">
        <f t="shared" si="8"/>
        <v>46.622635676344117</v>
      </c>
    </row>
    <row r="260" spans="1:11">
      <c r="A260" s="8">
        <v>4</v>
      </c>
      <c r="B260" s="8">
        <v>43.636363636363633</v>
      </c>
      <c r="G260" s="8">
        <v>5</v>
      </c>
      <c r="J260" s="8">
        <f t="shared" si="9"/>
        <v>45.2670450232417</v>
      </c>
      <c r="K260" s="8">
        <f t="shared" si="8"/>
        <v>46.622635676344117</v>
      </c>
    </row>
    <row r="261" spans="1:11">
      <c r="A261" s="8">
        <v>5</v>
      </c>
      <c r="B261" s="8">
        <v>43.636363636363633</v>
      </c>
      <c r="G261" s="8">
        <v>6</v>
      </c>
      <c r="J261" s="8">
        <f t="shared" si="9"/>
        <v>45.2670450232417</v>
      </c>
      <c r="K261" s="8">
        <f t="shared" ref="K261:K292" si="10">4608/2093*720/34</f>
        <v>46.622635676344117</v>
      </c>
    </row>
    <row r="262" spans="1:11">
      <c r="A262" s="8">
        <v>6</v>
      </c>
      <c r="B262" s="8">
        <v>43.636363636363633</v>
      </c>
      <c r="G262" s="8">
        <v>7</v>
      </c>
      <c r="I262" s="8">
        <v>37.61</v>
      </c>
      <c r="J262" s="8">
        <f t="shared" si="9"/>
        <v>45.2670450232417</v>
      </c>
      <c r="K262" s="8">
        <f t="shared" si="10"/>
        <v>46.622635676344117</v>
      </c>
    </row>
    <row r="263" spans="1:11">
      <c r="A263" s="8">
        <v>7</v>
      </c>
      <c r="B263" s="8">
        <v>43.636363636363633</v>
      </c>
      <c r="G263" s="8">
        <v>8</v>
      </c>
      <c r="I263" s="8">
        <v>37.29</v>
      </c>
      <c r="J263" s="8">
        <f t="shared" si="9"/>
        <v>45.2670450232417</v>
      </c>
      <c r="K263" s="8">
        <f t="shared" si="10"/>
        <v>46.622635676344117</v>
      </c>
    </row>
    <row r="264" spans="1:11">
      <c r="A264" s="8">
        <v>8</v>
      </c>
      <c r="B264" s="8">
        <v>43.636363636363633</v>
      </c>
      <c r="G264" s="8">
        <v>9</v>
      </c>
      <c r="J264" s="8">
        <f t="shared" si="9"/>
        <v>45.2670450232417</v>
      </c>
      <c r="K264" s="8">
        <f t="shared" si="10"/>
        <v>46.622635676344117</v>
      </c>
    </row>
    <row r="265" spans="1:11">
      <c r="A265" s="8">
        <v>9</v>
      </c>
      <c r="B265" s="8">
        <v>43.636363636363633</v>
      </c>
      <c r="G265" s="8">
        <v>10</v>
      </c>
      <c r="I265" s="8">
        <v>45.93</v>
      </c>
      <c r="J265" s="8">
        <f t="shared" si="9"/>
        <v>45.2670450232417</v>
      </c>
      <c r="K265" s="8">
        <f t="shared" si="10"/>
        <v>46.622635676344117</v>
      </c>
    </row>
    <row r="266" spans="1:11">
      <c r="A266" s="8">
        <v>10</v>
      </c>
      <c r="B266" s="8">
        <v>43.636363636363633</v>
      </c>
      <c r="G266" s="8">
        <v>11</v>
      </c>
      <c r="I266" s="8">
        <v>46.16</v>
      </c>
      <c r="J266" s="8">
        <f t="shared" si="9"/>
        <v>45.2670450232417</v>
      </c>
      <c r="K266" s="8">
        <f t="shared" si="10"/>
        <v>46.622635676344117</v>
      </c>
    </row>
    <row r="267" spans="1:11">
      <c r="A267" s="8">
        <v>11</v>
      </c>
      <c r="B267" s="8">
        <v>43.636363636363633</v>
      </c>
      <c r="G267" s="8">
        <v>12</v>
      </c>
      <c r="J267" s="8">
        <f t="shared" si="9"/>
        <v>45.2670450232417</v>
      </c>
      <c r="K267" s="8">
        <f t="shared" si="10"/>
        <v>46.622635676344117</v>
      </c>
    </row>
    <row r="268" spans="1:11">
      <c r="A268" s="8">
        <v>12</v>
      </c>
      <c r="B268" s="8">
        <v>43.636363636363633</v>
      </c>
      <c r="G268" s="8">
        <v>1707</v>
      </c>
      <c r="J268" s="8">
        <f t="shared" si="9"/>
        <v>45.892527287676543</v>
      </c>
      <c r="K268" s="8">
        <f t="shared" si="10"/>
        <v>46.622635676344117</v>
      </c>
    </row>
    <row r="269" spans="1:11">
      <c r="A269" s="8">
        <v>1711</v>
      </c>
      <c r="B269" s="8">
        <v>43.636363636363633</v>
      </c>
      <c r="G269" s="8">
        <v>2</v>
      </c>
      <c r="J269" s="8">
        <f t="shared" si="9"/>
        <v>45.892527287676543</v>
      </c>
      <c r="K269" s="8">
        <f t="shared" si="10"/>
        <v>46.622635676344117</v>
      </c>
    </row>
    <row r="270" spans="1:11">
      <c r="A270" s="8">
        <v>2</v>
      </c>
      <c r="B270" s="8">
        <v>43.636363636363633</v>
      </c>
      <c r="G270" s="8">
        <v>3</v>
      </c>
      <c r="J270" s="8">
        <f t="shared" si="9"/>
        <v>45.892527287676543</v>
      </c>
      <c r="K270" s="8">
        <f t="shared" si="10"/>
        <v>46.622635676344117</v>
      </c>
    </row>
    <row r="271" spans="1:11">
      <c r="A271" s="8">
        <v>3</v>
      </c>
      <c r="B271" s="8">
        <v>43.636363636363633</v>
      </c>
      <c r="G271" s="8">
        <v>4</v>
      </c>
      <c r="J271" s="8">
        <f t="shared" si="9"/>
        <v>45.892527287676543</v>
      </c>
      <c r="K271" s="8">
        <f t="shared" si="10"/>
        <v>46.622635676344117</v>
      </c>
    </row>
    <row r="272" spans="1:11">
      <c r="A272" s="8">
        <v>4</v>
      </c>
      <c r="B272" s="8">
        <v>43.636363636363633</v>
      </c>
      <c r="G272" s="8">
        <v>5</v>
      </c>
      <c r="J272" s="8">
        <f t="shared" si="9"/>
        <v>45.892527287676543</v>
      </c>
      <c r="K272" s="8">
        <f t="shared" si="10"/>
        <v>46.622635676344117</v>
      </c>
    </row>
    <row r="273" spans="1:11">
      <c r="A273" s="8">
        <v>5</v>
      </c>
      <c r="B273" s="8">
        <v>43.636363636363633</v>
      </c>
      <c r="G273" s="8">
        <v>6</v>
      </c>
      <c r="J273" s="8">
        <f t="shared" si="9"/>
        <v>45.892527287676543</v>
      </c>
      <c r="K273" s="8">
        <f t="shared" si="10"/>
        <v>46.622635676344117</v>
      </c>
    </row>
    <row r="274" spans="1:11">
      <c r="A274" s="8">
        <v>6</v>
      </c>
      <c r="B274" s="8">
        <v>43.636363636363633</v>
      </c>
      <c r="G274" s="8">
        <v>7</v>
      </c>
      <c r="J274" s="8">
        <f t="shared" si="9"/>
        <v>45.892527287676543</v>
      </c>
      <c r="K274" s="8">
        <f t="shared" si="10"/>
        <v>46.622635676344117</v>
      </c>
    </row>
    <row r="275" spans="1:11">
      <c r="A275" s="8">
        <v>7</v>
      </c>
      <c r="B275" s="8">
        <v>43.636363636363633</v>
      </c>
      <c r="G275" s="8">
        <v>8</v>
      </c>
      <c r="J275" s="8">
        <f t="shared" si="9"/>
        <v>33.442396898643466</v>
      </c>
      <c r="K275" s="8">
        <f t="shared" si="10"/>
        <v>46.622635676344117</v>
      </c>
    </row>
    <row r="276" spans="1:11">
      <c r="A276" s="8">
        <v>8</v>
      </c>
      <c r="B276" s="8">
        <v>43.636363636363633</v>
      </c>
      <c r="G276" s="8">
        <v>9</v>
      </c>
      <c r="J276" s="8">
        <f t="shared" si="9"/>
        <v>33.442396898643466</v>
      </c>
      <c r="K276" s="8">
        <f t="shared" si="10"/>
        <v>46.622635676344117</v>
      </c>
    </row>
    <row r="277" spans="1:11">
      <c r="A277" s="8">
        <v>9</v>
      </c>
      <c r="B277" s="8">
        <v>43.636363636363633</v>
      </c>
      <c r="G277" s="8">
        <v>10</v>
      </c>
      <c r="J277" s="8">
        <f t="shared" si="9"/>
        <v>33.442396898643466</v>
      </c>
      <c r="K277" s="8">
        <f t="shared" si="10"/>
        <v>46.622635676344117</v>
      </c>
    </row>
    <row r="278" spans="1:11">
      <c r="A278" s="8">
        <v>10</v>
      </c>
      <c r="B278" s="8">
        <v>43.636363636363633</v>
      </c>
      <c r="G278" s="8">
        <v>11</v>
      </c>
      <c r="J278" s="8">
        <f t="shared" si="9"/>
        <v>33.442396898643466</v>
      </c>
      <c r="K278" s="8">
        <f t="shared" si="10"/>
        <v>46.622635676344117</v>
      </c>
    </row>
    <row r="279" spans="1:11">
      <c r="A279" s="8">
        <v>11</v>
      </c>
      <c r="B279" s="8">
        <v>43.636363636363633</v>
      </c>
      <c r="G279" s="8">
        <v>12</v>
      </c>
      <c r="J279" s="8">
        <f t="shared" si="9"/>
        <v>33.442396898643466</v>
      </c>
      <c r="K279" s="8">
        <f t="shared" si="10"/>
        <v>46.622635676344117</v>
      </c>
    </row>
    <row r="280" spans="1:11">
      <c r="A280" s="8">
        <v>12</v>
      </c>
      <c r="B280" s="8">
        <v>43.636363636363633</v>
      </c>
      <c r="G280" s="8">
        <v>1708</v>
      </c>
      <c r="J280" s="8">
        <f t="shared" si="9"/>
        <v>33.442396898643466</v>
      </c>
      <c r="K280" s="8">
        <f t="shared" si="10"/>
        <v>46.622635676344117</v>
      </c>
    </row>
    <row r="281" spans="1:11">
      <c r="A281" s="8">
        <v>1712</v>
      </c>
      <c r="B281" s="8">
        <v>43.636363636363633</v>
      </c>
      <c r="G281" s="8">
        <v>2</v>
      </c>
      <c r="J281" s="8">
        <f t="shared" si="9"/>
        <v>33.442396898643466</v>
      </c>
      <c r="K281" s="8">
        <f t="shared" si="10"/>
        <v>46.622635676344117</v>
      </c>
    </row>
    <row r="282" spans="1:11">
      <c r="A282" s="8">
        <v>2</v>
      </c>
      <c r="B282" s="8">
        <v>43.636363636363633</v>
      </c>
      <c r="G282" s="8">
        <v>3</v>
      </c>
      <c r="J282" s="8">
        <f t="shared" si="9"/>
        <v>37.158218776270516</v>
      </c>
      <c r="K282" s="8">
        <f t="shared" si="10"/>
        <v>46.622635676344117</v>
      </c>
    </row>
    <row r="283" spans="1:11">
      <c r="A283" s="8">
        <v>3</v>
      </c>
      <c r="B283" s="8">
        <v>43.636363636363633</v>
      </c>
      <c r="G283" s="8">
        <v>4</v>
      </c>
      <c r="J283" s="8">
        <f t="shared" si="9"/>
        <v>37.158218776270516</v>
      </c>
      <c r="K283" s="8">
        <f t="shared" si="10"/>
        <v>46.622635676344117</v>
      </c>
    </row>
    <row r="284" spans="1:11">
      <c r="A284" s="8">
        <v>4</v>
      </c>
      <c r="B284" s="8">
        <v>43.636363636363633</v>
      </c>
      <c r="G284" s="8">
        <v>5</v>
      </c>
      <c r="J284" s="8">
        <f t="shared" si="9"/>
        <v>37.158218776270516</v>
      </c>
      <c r="K284" s="8">
        <f t="shared" si="10"/>
        <v>46.622635676344117</v>
      </c>
    </row>
    <row r="285" spans="1:11">
      <c r="A285" s="8">
        <v>5</v>
      </c>
      <c r="B285" s="8">
        <v>43.636363636363633</v>
      </c>
      <c r="G285" s="8">
        <v>6</v>
      </c>
      <c r="J285" s="8">
        <f t="shared" si="9"/>
        <v>41.802996123304325</v>
      </c>
      <c r="K285" s="8">
        <f t="shared" si="10"/>
        <v>46.622635676344117</v>
      </c>
    </row>
    <row r="286" spans="1:11">
      <c r="A286" s="8">
        <v>6</v>
      </c>
      <c r="B286" s="8">
        <v>43.636363636363633</v>
      </c>
      <c r="G286" s="8">
        <v>7</v>
      </c>
      <c r="J286" s="8">
        <f t="shared" si="9"/>
        <v>41.802996123304325</v>
      </c>
      <c r="K286" s="8">
        <f t="shared" si="10"/>
        <v>46.622635676344117</v>
      </c>
    </row>
    <row r="287" spans="1:11">
      <c r="A287" s="8">
        <v>7</v>
      </c>
      <c r="B287" s="8">
        <v>43.636363636363633</v>
      </c>
      <c r="G287" s="8">
        <v>8</v>
      </c>
      <c r="J287" s="8">
        <f t="shared" si="9"/>
        <v>43.151479869217376</v>
      </c>
      <c r="K287" s="8">
        <f t="shared" si="10"/>
        <v>46.622635676344117</v>
      </c>
    </row>
    <row r="288" spans="1:11">
      <c r="A288" s="8">
        <v>8</v>
      </c>
      <c r="B288" s="8">
        <v>43.636363636363633</v>
      </c>
      <c r="G288" s="8">
        <v>9</v>
      </c>
      <c r="J288" s="8">
        <f t="shared" si="9"/>
        <v>43.151479869217376</v>
      </c>
      <c r="K288" s="8">
        <f t="shared" si="10"/>
        <v>46.622635676344117</v>
      </c>
    </row>
    <row r="289" spans="1:11">
      <c r="A289" s="8">
        <v>9</v>
      </c>
      <c r="B289" s="8">
        <v>43.636363636363633</v>
      </c>
      <c r="G289" s="8">
        <v>10</v>
      </c>
      <c r="I289" s="8">
        <v>47.15</v>
      </c>
      <c r="J289" s="8">
        <f t="shared" si="9"/>
        <v>43.151479869217376</v>
      </c>
      <c r="K289" s="8">
        <f t="shared" si="10"/>
        <v>46.622635676344117</v>
      </c>
    </row>
    <row r="290" spans="1:11">
      <c r="A290" s="8">
        <v>10</v>
      </c>
      <c r="B290" s="8">
        <v>43.636363636363633</v>
      </c>
      <c r="G290" s="8">
        <v>11</v>
      </c>
      <c r="J290" s="8">
        <f t="shared" si="9"/>
        <v>43.151479869217376</v>
      </c>
      <c r="K290" s="8">
        <f t="shared" si="10"/>
        <v>46.622635676344117</v>
      </c>
    </row>
    <row r="291" spans="1:11">
      <c r="A291" s="8">
        <v>11</v>
      </c>
      <c r="B291" s="8">
        <v>43.636363636363633</v>
      </c>
      <c r="G291" s="8">
        <v>12</v>
      </c>
      <c r="I291" s="8">
        <v>47.42</v>
      </c>
      <c r="J291" s="8">
        <f t="shared" si="9"/>
        <v>43.151479869217376</v>
      </c>
      <c r="K291" s="8">
        <f t="shared" si="10"/>
        <v>46.622635676344117</v>
      </c>
    </row>
    <row r="292" spans="1:11">
      <c r="A292" s="8">
        <v>12</v>
      </c>
      <c r="B292" s="8">
        <v>43.636363636363633</v>
      </c>
      <c r="G292" s="8">
        <v>1709</v>
      </c>
      <c r="J292" s="8">
        <f t="shared" si="9"/>
        <v>47.641709680198637</v>
      </c>
      <c r="K292" s="8">
        <f t="shared" si="10"/>
        <v>46.622635676344117</v>
      </c>
    </row>
    <row r="293" spans="1:11">
      <c r="A293" s="8">
        <v>1713</v>
      </c>
      <c r="B293" s="8">
        <v>43.636363636363633</v>
      </c>
      <c r="G293" s="8">
        <v>2</v>
      </c>
      <c r="I293" s="8">
        <v>48.49</v>
      </c>
      <c r="J293" s="8">
        <f t="shared" si="9"/>
        <v>47.641709680198637</v>
      </c>
      <c r="K293" s="8">
        <f t="shared" ref="K293:K324" si="11">4608/2093*720/34</f>
        <v>46.622635676344117</v>
      </c>
    </row>
    <row r="294" spans="1:11">
      <c r="A294" s="8">
        <v>2</v>
      </c>
      <c r="B294" s="8">
        <v>43.636363636363633</v>
      </c>
      <c r="G294" s="8">
        <v>3</v>
      </c>
      <c r="J294" s="8">
        <f t="shared" si="9"/>
        <v>50.134749117172809</v>
      </c>
      <c r="K294" s="8">
        <f t="shared" si="11"/>
        <v>46.622635676344117</v>
      </c>
    </row>
    <row r="295" spans="1:11">
      <c r="A295" s="8">
        <v>3</v>
      </c>
      <c r="B295" s="8">
        <v>43.636363636363633</v>
      </c>
      <c r="G295" s="8">
        <v>4</v>
      </c>
      <c r="I295" s="8">
        <v>48.7</v>
      </c>
      <c r="J295" s="8">
        <f t="shared" si="9"/>
        <v>50.134749117172809</v>
      </c>
      <c r="K295" s="8">
        <f t="shared" si="11"/>
        <v>46.622635676344117</v>
      </c>
    </row>
    <row r="296" spans="1:11">
      <c r="A296" s="8">
        <v>4</v>
      </c>
      <c r="B296" s="8">
        <v>43.636363636363633</v>
      </c>
      <c r="G296" s="8">
        <v>5</v>
      </c>
      <c r="I296" s="8">
        <v>44.52</v>
      </c>
      <c r="J296" s="8">
        <f t="shared" si="9"/>
        <v>36.326803631151463</v>
      </c>
      <c r="K296" s="8">
        <f t="shared" si="11"/>
        <v>46.622635676344117</v>
      </c>
    </row>
    <row r="297" spans="1:11">
      <c r="A297" s="8">
        <v>5</v>
      </c>
      <c r="B297" s="8">
        <v>43.636363636363633</v>
      </c>
      <c r="G297" s="8">
        <v>6</v>
      </c>
      <c r="I297" s="8">
        <v>46.15</v>
      </c>
      <c r="J297" s="8">
        <f t="shared" si="9"/>
        <v>36.326803631151463</v>
      </c>
      <c r="K297" s="8">
        <f t="shared" si="11"/>
        <v>46.622635676344117</v>
      </c>
    </row>
    <row r="298" spans="1:11">
      <c r="A298" s="8">
        <v>6</v>
      </c>
      <c r="B298" s="8">
        <v>43.636363636363633</v>
      </c>
      <c r="G298" s="8">
        <v>7</v>
      </c>
      <c r="I298" s="8">
        <v>50.82</v>
      </c>
      <c r="J298" s="8">
        <f t="shared" si="9"/>
        <v>36.326803631151463</v>
      </c>
      <c r="K298" s="8">
        <f t="shared" si="11"/>
        <v>46.622635676344117</v>
      </c>
    </row>
    <row r="299" spans="1:11">
      <c r="A299" s="8">
        <v>7</v>
      </c>
      <c r="B299" s="8">
        <v>43.636363636363633</v>
      </c>
      <c r="G299" s="8">
        <v>8</v>
      </c>
      <c r="I299" s="8">
        <v>50.15</v>
      </c>
      <c r="J299" s="8">
        <f t="shared" si="9"/>
        <v>36.326803631151463</v>
      </c>
      <c r="K299" s="8">
        <f t="shared" si="11"/>
        <v>46.622635676344117</v>
      </c>
    </row>
    <row r="300" spans="1:11">
      <c r="A300" s="8">
        <v>8</v>
      </c>
      <c r="B300" s="8">
        <v>43.636363636363633</v>
      </c>
      <c r="G300" s="8">
        <v>9</v>
      </c>
      <c r="I300" s="8">
        <v>50.12</v>
      </c>
      <c r="J300" s="8">
        <f t="shared" si="9"/>
        <v>36.326803631151463</v>
      </c>
      <c r="K300" s="8">
        <f t="shared" si="11"/>
        <v>46.622635676344117</v>
      </c>
    </row>
    <row r="301" spans="1:11">
      <c r="A301" s="8">
        <v>9</v>
      </c>
      <c r="B301" s="8">
        <v>43.636363636363633</v>
      </c>
      <c r="G301" s="8">
        <v>10</v>
      </c>
      <c r="J301" s="8">
        <f t="shared" si="9"/>
        <v>36.326803631151463</v>
      </c>
      <c r="K301" s="8">
        <f t="shared" si="11"/>
        <v>46.622635676344117</v>
      </c>
    </row>
    <row r="302" spans="1:11">
      <c r="A302" s="8">
        <v>10</v>
      </c>
      <c r="B302" s="8">
        <v>43.636363636363633</v>
      </c>
      <c r="G302" s="8">
        <v>11</v>
      </c>
      <c r="J302" s="8">
        <f t="shared" si="9"/>
        <v>36.326803631151463</v>
      </c>
      <c r="K302" s="8">
        <f t="shared" si="11"/>
        <v>46.622635676344117</v>
      </c>
    </row>
    <row r="303" spans="1:11">
      <c r="A303" s="8">
        <v>11</v>
      </c>
      <c r="B303" s="8">
        <v>43.636363636363633</v>
      </c>
      <c r="G303" s="8">
        <v>12</v>
      </c>
      <c r="I303" s="8">
        <v>47.76</v>
      </c>
      <c r="J303" s="8">
        <f t="shared" si="9"/>
        <v>36.326803631151463</v>
      </c>
      <c r="K303" s="8">
        <f t="shared" si="11"/>
        <v>46.622635676344117</v>
      </c>
    </row>
    <row r="304" spans="1:11">
      <c r="A304" s="8">
        <v>12</v>
      </c>
      <c r="B304" s="8">
        <v>42.545454545454547</v>
      </c>
      <c r="G304" s="8">
        <v>1710</v>
      </c>
      <c r="I304" s="8">
        <v>47.08</v>
      </c>
      <c r="J304" s="8">
        <f t="shared" si="9"/>
        <v>36.326803631151463</v>
      </c>
      <c r="K304" s="8">
        <f t="shared" si="11"/>
        <v>46.622635676344117</v>
      </c>
    </row>
    <row r="305" spans="1:11">
      <c r="A305" s="8">
        <v>1714</v>
      </c>
      <c r="B305" s="8">
        <v>42.545454545454547</v>
      </c>
      <c r="G305" s="8">
        <v>2</v>
      </c>
      <c r="I305" s="8">
        <v>47.34</v>
      </c>
      <c r="J305" s="8">
        <f t="shared" si="9"/>
        <v>36.326803631151463</v>
      </c>
      <c r="K305" s="8">
        <f t="shared" si="11"/>
        <v>46.622635676344117</v>
      </c>
    </row>
    <row r="306" spans="1:11">
      <c r="A306" s="8">
        <v>2</v>
      </c>
      <c r="B306" s="8">
        <v>41.454545454545453</v>
      </c>
      <c r="G306" s="8">
        <v>3</v>
      </c>
      <c r="I306" s="8">
        <v>47.35</v>
      </c>
      <c r="J306" s="8">
        <f t="shared" si="9"/>
        <v>36.326803631151463</v>
      </c>
      <c r="K306" s="8">
        <f t="shared" si="11"/>
        <v>46.622635676344117</v>
      </c>
    </row>
    <row r="307" spans="1:11">
      <c r="A307" s="8">
        <v>3</v>
      </c>
      <c r="B307" s="8">
        <v>41.454545454545453</v>
      </c>
      <c r="G307" s="8">
        <v>4</v>
      </c>
      <c r="I307" s="8">
        <v>47.31</v>
      </c>
      <c r="J307" s="8">
        <f t="shared" si="9"/>
        <v>36.326803631151463</v>
      </c>
      <c r="K307" s="8">
        <f t="shared" si="11"/>
        <v>46.622635676344117</v>
      </c>
    </row>
    <row r="308" spans="1:11">
      <c r="A308" s="8">
        <v>4</v>
      </c>
      <c r="B308" s="8">
        <v>40.363636363636367</v>
      </c>
      <c r="G308" s="8">
        <v>5</v>
      </c>
      <c r="I308" s="8">
        <v>47.95</v>
      </c>
      <c r="J308" s="8">
        <f t="shared" ref="J308:J371" si="12">4608/2093*240*3/B261</f>
        <v>36.326803631151463</v>
      </c>
      <c r="K308" s="8">
        <f t="shared" si="11"/>
        <v>46.622635676344117</v>
      </c>
    </row>
    <row r="309" spans="1:11">
      <c r="A309" s="8">
        <v>5</v>
      </c>
      <c r="B309" s="8">
        <v>40.363636363636367</v>
      </c>
      <c r="G309" s="8">
        <v>6</v>
      </c>
      <c r="I309" s="8">
        <v>48.11</v>
      </c>
      <c r="J309" s="8">
        <f t="shared" si="12"/>
        <v>36.326803631151463</v>
      </c>
      <c r="K309" s="8">
        <f t="shared" si="11"/>
        <v>46.622635676344117</v>
      </c>
    </row>
    <row r="310" spans="1:11">
      <c r="A310" s="8">
        <v>6</v>
      </c>
      <c r="B310" s="8">
        <v>40.363636363636367</v>
      </c>
      <c r="G310" s="8">
        <v>7</v>
      </c>
      <c r="I310" s="8">
        <v>48.37</v>
      </c>
      <c r="J310" s="8">
        <f t="shared" si="12"/>
        <v>36.326803631151463</v>
      </c>
      <c r="K310" s="8">
        <f t="shared" si="11"/>
        <v>46.622635676344117</v>
      </c>
    </row>
    <row r="311" spans="1:11">
      <c r="A311" s="8">
        <v>7</v>
      </c>
      <c r="B311" s="8">
        <v>40.363636363636367</v>
      </c>
      <c r="G311" s="8">
        <v>8</v>
      </c>
      <c r="J311" s="8">
        <f t="shared" si="12"/>
        <v>36.326803631151463</v>
      </c>
      <c r="K311" s="8">
        <f t="shared" si="11"/>
        <v>46.622635676344117</v>
      </c>
    </row>
    <row r="312" spans="1:11">
      <c r="A312" s="8">
        <v>8</v>
      </c>
      <c r="B312" s="8">
        <v>40.363636363636367</v>
      </c>
      <c r="G312" s="8">
        <v>9</v>
      </c>
      <c r="J312" s="8">
        <f t="shared" si="12"/>
        <v>36.326803631151463</v>
      </c>
      <c r="K312" s="8">
        <f t="shared" si="11"/>
        <v>46.622635676344117</v>
      </c>
    </row>
    <row r="313" spans="1:11">
      <c r="A313" s="8">
        <v>9</v>
      </c>
      <c r="B313" s="8">
        <v>40.363636363636367</v>
      </c>
      <c r="G313" s="8">
        <v>10</v>
      </c>
      <c r="J313" s="8">
        <f t="shared" si="12"/>
        <v>36.326803631151463</v>
      </c>
      <c r="K313" s="8">
        <f t="shared" si="11"/>
        <v>46.622635676344117</v>
      </c>
    </row>
    <row r="314" spans="1:11">
      <c r="A314" s="8">
        <v>10</v>
      </c>
      <c r="B314" s="8">
        <v>36</v>
      </c>
      <c r="G314" s="8">
        <v>11</v>
      </c>
      <c r="J314" s="8">
        <f t="shared" si="12"/>
        <v>36.326803631151463</v>
      </c>
      <c r="K314" s="8">
        <f t="shared" si="11"/>
        <v>46.622635676344117</v>
      </c>
    </row>
    <row r="315" spans="1:11">
      <c r="A315" s="8">
        <v>11</v>
      </c>
      <c r="B315" s="8">
        <v>36</v>
      </c>
      <c r="G315" s="8">
        <v>12</v>
      </c>
      <c r="J315" s="8">
        <f t="shared" si="12"/>
        <v>36.326803631151463</v>
      </c>
      <c r="K315" s="8">
        <f t="shared" si="11"/>
        <v>46.622635676344117</v>
      </c>
    </row>
    <row r="316" spans="1:11">
      <c r="A316" s="8">
        <v>12</v>
      </c>
      <c r="B316" s="8">
        <v>34.909090909090907</v>
      </c>
      <c r="G316" s="8">
        <v>1711</v>
      </c>
      <c r="J316" s="8">
        <f t="shared" si="12"/>
        <v>36.326803631151463</v>
      </c>
      <c r="K316" s="8">
        <f t="shared" si="11"/>
        <v>46.622635676344117</v>
      </c>
    </row>
    <row r="317" spans="1:11">
      <c r="A317" s="8">
        <v>1715</v>
      </c>
      <c r="B317" s="8">
        <v>34.909090909090907</v>
      </c>
      <c r="G317" s="8">
        <v>2</v>
      </c>
      <c r="J317" s="8">
        <f t="shared" si="12"/>
        <v>36.326803631151463</v>
      </c>
      <c r="K317" s="8">
        <f t="shared" si="11"/>
        <v>46.622635676344117</v>
      </c>
    </row>
    <row r="318" spans="1:11">
      <c r="A318" s="8">
        <v>2</v>
      </c>
      <c r="B318" s="8">
        <v>33.81818181818182</v>
      </c>
      <c r="G318" s="8">
        <v>3</v>
      </c>
      <c r="J318" s="8">
        <f t="shared" si="12"/>
        <v>36.326803631151463</v>
      </c>
      <c r="K318" s="8">
        <f t="shared" si="11"/>
        <v>46.622635676344117</v>
      </c>
    </row>
    <row r="319" spans="1:11">
      <c r="A319" s="8">
        <v>3</v>
      </c>
      <c r="B319" s="8">
        <v>33.81818181818182</v>
      </c>
      <c r="G319" s="8">
        <v>4</v>
      </c>
      <c r="J319" s="8">
        <f t="shared" si="12"/>
        <v>36.326803631151463</v>
      </c>
      <c r="K319" s="8">
        <f t="shared" si="11"/>
        <v>46.622635676344117</v>
      </c>
    </row>
    <row r="320" spans="1:11">
      <c r="A320" s="8">
        <v>4</v>
      </c>
      <c r="B320" s="8">
        <v>32.727272727272727</v>
      </c>
      <c r="G320" s="8">
        <v>5</v>
      </c>
      <c r="J320" s="8">
        <f t="shared" si="12"/>
        <v>36.326803631151463</v>
      </c>
      <c r="K320" s="8">
        <f t="shared" si="11"/>
        <v>46.622635676344117</v>
      </c>
    </row>
    <row r="321" spans="1:11">
      <c r="A321" s="8">
        <v>5</v>
      </c>
      <c r="B321" s="8">
        <v>32.727272727272727</v>
      </c>
      <c r="G321" s="8">
        <v>6</v>
      </c>
      <c r="J321" s="8">
        <f t="shared" si="12"/>
        <v>36.326803631151463</v>
      </c>
      <c r="K321" s="8">
        <f t="shared" si="11"/>
        <v>46.622635676344117</v>
      </c>
    </row>
    <row r="322" spans="1:11">
      <c r="A322" s="8">
        <v>6</v>
      </c>
      <c r="B322" s="8">
        <v>31.636363636363637</v>
      </c>
      <c r="G322" s="8">
        <v>7</v>
      </c>
      <c r="J322" s="8">
        <f t="shared" si="12"/>
        <v>36.326803631151463</v>
      </c>
      <c r="K322" s="8">
        <f t="shared" si="11"/>
        <v>46.622635676344117</v>
      </c>
    </row>
    <row r="323" spans="1:11">
      <c r="A323" s="8">
        <v>7</v>
      </c>
      <c r="B323" s="8">
        <v>31.636363636363637</v>
      </c>
      <c r="G323" s="8">
        <v>8</v>
      </c>
      <c r="J323" s="8">
        <f t="shared" si="12"/>
        <v>36.326803631151463</v>
      </c>
      <c r="K323" s="8">
        <f t="shared" si="11"/>
        <v>46.622635676344117</v>
      </c>
    </row>
    <row r="324" spans="1:11">
      <c r="A324" s="8">
        <v>8</v>
      </c>
      <c r="B324" s="8">
        <v>31.636363636363637</v>
      </c>
      <c r="G324" s="8">
        <v>9</v>
      </c>
      <c r="J324" s="8">
        <f t="shared" si="12"/>
        <v>36.326803631151463</v>
      </c>
      <c r="K324" s="8">
        <f t="shared" si="11"/>
        <v>46.622635676344117</v>
      </c>
    </row>
    <row r="325" spans="1:11">
      <c r="A325" s="8">
        <v>9</v>
      </c>
      <c r="B325" s="8">
        <v>30.545454545454547</v>
      </c>
      <c r="G325" s="8">
        <v>10</v>
      </c>
      <c r="J325" s="8">
        <f t="shared" si="12"/>
        <v>36.326803631151463</v>
      </c>
      <c r="K325" s="8">
        <f t="shared" ref="K325:K339" si="13">4608/2093*720/34</f>
        <v>46.622635676344117</v>
      </c>
    </row>
    <row r="326" spans="1:11">
      <c r="A326" s="8">
        <v>10</v>
      </c>
      <c r="B326" s="8">
        <v>30.545454545454547</v>
      </c>
      <c r="G326" s="8">
        <v>11</v>
      </c>
      <c r="J326" s="8">
        <f t="shared" si="12"/>
        <v>36.326803631151463</v>
      </c>
      <c r="K326" s="8">
        <f t="shared" si="13"/>
        <v>46.622635676344117</v>
      </c>
    </row>
    <row r="327" spans="1:11">
      <c r="A327" s="8">
        <v>11</v>
      </c>
      <c r="B327" s="8">
        <v>43.612499999999997</v>
      </c>
      <c r="G327" s="8">
        <v>12</v>
      </c>
      <c r="J327" s="8">
        <f t="shared" si="12"/>
        <v>36.326803631151463</v>
      </c>
      <c r="K327" s="8">
        <f t="shared" si="13"/>
        <v>46.622635676344117</v>
      </c>
    </row>
    <row r="328" spans="1:11">
      <c r="A328" s="8">
        <v>12</v>
      </c>
      <c r="B328" s="8">
        <v>43.612499999999997</v>
      </c>
      <c r="G328" s="8">
        <v>1712</v>
      </c>
      <c r="J328" s="8">
        <f t="shared" si="12"/>
        <v>36.326803631151463</v>
      </c>
      <c r="K328" s="8">
        <f t="shared" si="13"/>
        <v>46.622635676344117</v>
      </c>
    </row>
    <row r="329" spans="1:11">
      <c r="A329" s="8">
        <v>1716</v>
      </c>
      <c r="B329" s="8">
        <v>43.612499999999997</v>
      </c>
      <c r="G329" s="8">
        <v>2</v>
      </c>
      <c r="J329" s="8">
        <f t="shared" si="12"/>
        <v>36.326803631151463</v>
      </c>
      <c r="K329" s="8">
        <f t="shared" si="13"/>
        <v>46.622635676344117</v>
      </c>
    </row>
    <row r="330" spans="1:11">
      <c r="A330" s="8">
        <v>2</v>
      </c>
      <c r="B330" s="8">
        <v>43.612499999999997</v>
      </c>
      <c r="G330" s="8">
        <v>3</v>
      </c>
      <c r="J330" s="8">
        <f t="shared" si="12"/>
        <v>36.326803631151463</v>
      </c>
      <c r="K330" s="8">
        <f t="shared" si="13"/>
        <v>46.622635676344117</v>
      </c>
    </row>
    <row r="331" spans="1:11">
      <c r="A331" s="8">
        <v>3</v>
      </c>
      <c r="B331" s="8">
        <v>43.612499999999997</v>
      </c>
      <c r="G331" s="8">
        <v>4</v>
      </c>
      <c r="J331" s="8">
        <f t="shared" si="12"/>
        <v>36.326803631151463</v>
      </c>
      <c r="K331" s="8">
        <f t="shared" si="13"/>
        <v>46.622635676344117</v>
      </c>
    </row>
    <row r="332" spans="1:11">
      <c r="A332" s="8">
        <v>4</v>
      </c>
      <c r="B332" s="8">
        <v>43.612499999999997</v>
      </c>
      <c r="G332" s="8">
        <v>5</v>
      </c>
      <c r="J332" s="8">
        <f t="shared" si="12"/>
        <v>36.326803631151463</v>
      </c>
      <c r="K332" s="8">
        <f t="shared" si="13"/>
        <v>46.622635676344117</v>
      </c>
    </row>
    <row r="333" spans="1:11">
      <c r="A333" s="8">
        <v>5</v>
      </c>
      <c r="B333" s="8">
        <v>43.612499999999997</v>
      </c>
      <c r="G333" s="8">
        <v>6</v>
      </c>
      <c r="J333" s="8">
        <f t="shared" si="12"/>
        <v>36.326803631151463</v>
      </c>
      <c r="K333" s="8">
        <f t="shared" si="13"/>
        <v>46.622635676344117</v>
      </c>
    </row>
    <row r="334" spans="1:11">
      <c r="A334" s="8">
        <v>6</v>
      </c>
      <c r="B334" s="8">
        <v>43.612499999999997</v>
      </c>
      <c r="G334" s="8">
        <v>7</v>
      </c>
      <c r="J334" s="8">
        <f t="shared" si="12"/>
        <v>36.326803631151463</v>
      </c>
      <c r="K334" s="8">
        <f t="shared" si="13"/>
        <v>46.622635676344117</v>
      </c>
    </row>
    <row r="335" spans="1:11">
      <c r="A335" s="8">
        <v>7</v>
      </c>
      <c r="B335" s="8">
        <v>43.612499999999997</v>
      </c>
      <c r="G335" s="8">
        <v>8</v>
      </c>
      <c r="J335" s="8">
        <f t="shared" si="12"/>
        <v>36.326803631151463</v>
      </c>
      <c r="K335" s="8">
        <f t="shared" si="13"/>
        <v>46.622635676344117</v>
      </c>
    </row>
    <row r="336" spans="1:11">
      <c r="A336" s="8">
        <v>8</v>
      </c>
      <c r="B336" s="8">
        <v>43.612499999999997</v>
      </c>
      <c r="G336" s="8">
        <v>9</v>
      </c>
      <c r="J336" s="8">
        <f t="shared" si="12"/>
        <v>36.326803631151463</v>
      </c>
      <c r="K336" s="8">
        <f t="shared" si="13"/>
        <v>46.622635676344117</v>
      </c>
    </row>
    <row r="337" spans="1:11">
      <c r="A337" s="8">
        <v>9</v>
      </c>
      <c r="B337" s="8">
        <v>43.612499999999997</v>
      </c>
      <c r="G337" s="8">
        <v>10</v>
      </c>
      <c r="J337" s="8">
        <f t="shared" si="12"/>
        <v>36.326803631151463</v>
      </c>
      <c r="K337" s="8">
        <f t="shared" si="13"/>
        <v>46.622635676344117</v>
      </c>
    </row>
    <row r="338" spans="1:11">
      <c r="A338" s="8">
        <v>10</v>
      </c>
      <c r="B338" s="8">
        <v>43.612499999999997</v>
      </c>
      <c r="G338" s="8">
        <v>11</v>
      </c>
      <c r="J338" s="8">
        <f t="shared" si="12"/>
        <v>36.326803631151463</v>
      </c>
      <c r="K338" s="8">
        <f t="shared" si="13"/>
        <v>46.622635676344117</v>
      </c>
    </row>
    <row r="339" spans="1:11">
      <c r="A339" s="8">
        <v>11</v>
      </c>
      <c r="B339" s="8">
        <v>43.612499999999997</v>
      </c>
      <c r="G339" s="8">
        <v>12</v>
      </c>
      <c r="J339" s="8">
        <f t="shared" si="12"/>
        <v>36.326803631151463</v>
      </c>
      <c r="K339" s="8">
        <f t="shared" si="13"/>
        <v>46.622635676344117</v>
      </c>
    </row>
    <row r="340" spans="1:11">
      <c r="A340" s="8">
        <v>12</v>
      </c>
      <c r="B340" s="8">
        <v>43.612499999999997</v>
      </c>
      <c r="G340" s="8">
        <v>1713</v>
      </c>
      <c r="J340" s="8">
        <f t="shared" si="12"/>
        <v>36.326803631151463</v>
      </c>
      <c r="K340" s="8">
        <f>4608/2093*720/(42.5+(10+10/11)/240)</f>
        <v>37.258260134514316</v>
      </c>
    </row>
    <row r="341" spans="1:11">
      <c r="A341" s="8">
        <v>1717</v>
      </c>
      <c r="B341" s="8">
        <v>43.612499999999997</v>
      </c>
      <c r="G341" s="8">
        <v>2</v>
      </c>
      <c r="J341" s="8">
        <f t="shared" si="12"/>
        <v>36.326803631151463</v>
      </c>
      <c r="K341" s="8">
        <v>37.258260134514316</v>
      </c>
    </row>
    <row r="342" spans="1:11">
      <c r="A342" s="8">
        <v>2</v>
      </c>
      <c r="B342" s="8">
        <v>43.612499999999997</v>
      </c>
      <c r="G342" s="8">
        <v>3</v>
      </c>
      <c r="J342" s="8">
        <f t="shared" si="12"/>
        <v>36.326803631151463</v>
      </c>
      <c r="K342" s="8">
        <v>37.258260134514316</v>
      </c>
    </row>
    <row r="343" spans="1:11">
      <c r="A343" s="8">
        <v>3</v>
      </c>
      <c r="B343" s="8">
        <v>43.612499999999997</v>
      </c>
      <c r="G343" s="8">
        <v>4</v>
      </c>
      <c r="J343" s="8">
        <f t="shared" si="12"/>
        <v>36.326803631151463</v>
      </c>
      <c r="K343" s="8">
        <v>37.258260134514316</v>
      </c>
    </row>
    <row r="344" spans="1:11">
      <c r="A344" s="8">
        <v>4</v>
      </c>
      <c r="B344" s="8">
        <v>43.612499999999997</v>
      </c>
      <c r="G344" s="8">
        <v>5</v>
      </c>
      <c r="H344" s="8">
        <v>38.5</v>
      </c>
      <c r="J344" s="8">
        <f t="shared" si="12"/>
        <v>36.326803631151463</v>
      </c>
      <c r="K344" s="8">
        <v>37.258260134514316</v>
      </c>
    </row>
    <row r="345" spans="1:11">
      <c r="A345" s="8">
        <v>5</v>
      </c>
      <c r="B345" s="8">
        <v>43.612499999999997</v>
      </c>
      <c r="G345" s="8">
        <v>6</v>
      </c>
      <c r="H345" s="8">
        <v>37</v>
      </c>
      <c r="J345" s="8">
        <f t="shared" si="12"/>
        <v>36.326803631151463</v>
      </c>
      <c r="K345" s="8">
        <v>37.258260134514316</v>
      </c>
    </row>
    <row r="346" spans="1:11">
      <c r="A346" s="8">
        <v>6</v>
      </c>
      <c r="B346" s="8">
        <v>43.612499999999997</v>
      </c>
      <c r="G346" s="8">
        <v>7</v>
      </c>
      <c r="H346" s="8">
        <v>37.25</v>
      </c>
      <c r="J346" s="8">
        <f t="shared" si="12"/>
        <v>36.326803631151463</v>
      </c>
      <c r="K346" s="8">
        <v>37.258260134514316</v>
      </c>
    </row>
    <row r="347" spans="1:11">
      <c r="A347" s="8">
        <v>7</v>
      </c>
      <c r="B347" s="8">
        <v>43.612499999999997</v>
      </c>
      <c r="G347" s="8">
        <v>8</v>
      </c>
      <c r="H347" s="8">
        <v>37.119999999999997</v>
      </c>
      <c r="J347" s="8">
        <f t="shared" si="12"/>
        <v>36.326803631151463</v>
      </c>
      <c r="K347" s="8">
        <v>37.258260134514316</v>
      </c>
    </row>
    <row r="348" spans="1:11">
      <c r="A348" s="8">
        <v>8</v>
      </c>
      <c r="B348" s="8">
        <v>43.612499999999997</v>
      </c>
      <c r="G348" s="8">
        <v>9</v>
      </c>
      <c r="H348" s="8">
        <v>37.119999999999997</v>
      </c>
      <c r="J348" s="8">
        <f t="shared" si="12"/>
        <v>36.326803631151463</v>
      </c>
      <c r="K348" s="8">
        <v>37.258260134514316</v>
      </c>
    </row>
    <row r="349" spans="1:11">
      <c r="A349" s="8">
        <v>9</v>
      </c>
      <c r="B349" s="8">
        <v>43.612499999999997</v>
      </c>
      <c r="G349" s="8">
        <v>10</v>
      </c>
      <c r="H349" s="8">
        <v>37.25</v>
      </c>
      <c r="J349" s="8">
        <f t="shared" si="12"/>
        <v>36.326803631151463</v>
      </c>
      <c r="K349" s="8">
        <v>37.258260134514316</v>
      </c>
    </row>
    <row r="350" spans="1:11">
      <c r="A350" s="8">
        <v>10</v>
      </c>
      <c r="B350" s="8">
        <v>43.612499999999997</v>
      </c>
      <c r="G350" s="8">
        <v>11</v>
      </c>
      <c r="H350" s="8">
        <v>36.56</v>
      </c>
      <c r="J350" s="8">
        <f t="shared" si="12"/>
        <v>36.326803631151463</v>
      </c>
      <c r="K350" s="8">
        <v>37.258260134514316</v>
      </c>
    </row>
    <row r="351" spans="1:11">
      <c r="A351" s="8">
        <v>11</v>
      </c>
      <c r="B351" s="8">
        <v>43.612499999999997</v>
      </c>
      <c r="G351" s="8">
        <v>12</v>
      </c>
      <c r="H351" s="8">
        <v>35.5</v>
      </c>
      <c r="J351" s="8">
        <f t="shared" si="12"/>
        <v>37.258260134514316</v>
      </c>
      <c r="K351" s="8">
        <v>37.258260134514316</v>
      </c>
    </row>
    <row r="352" spans="1:11">
      <c r="A352" s="8">
        <v>12</v>
      </c>
      <c r="B352" s="8">
        <v>43.612499999999997</v>
      </c>
      <c r="G352" s="8">
        <v>1714</v>
      </c>
      <c r="H352" s="8">
        <v>35.5</v>
      </c>
      <c r="J352" s="8">
        <f t="shared" si="12"/>
        <v>37.258260134514316</v>
      </c>
      <c r="K352" s="8">
        <v>37.258260134514316</v>
      </c>
    </row>
    <row r="353" spans="1:11">
      <c r="A353" s="8">
        <v>1718</v>
      </c>
      <c r="B353" s="8">
        <v>43.612499999999997</v>
      </c>
      <c r="G353" s="8">
        <v>2</v>
      </c>
      <c r="H353" s="8">
        <v>35.75</v>
      </c>
      <c r="J353" s="8">
        <f t="shared" si="12"/>
        <v>38.238740664369963</v>
      </c>
      <c r="K353" s="8">
        <v>37.258260134514316</v>
      </c>
    </row>
    <row r="354" spans="1:11">
      <c r="A354" s="8">
        <v>2</v>
      </c>
      <c r="B354" s="8">
        <v>43.612499999999997</v>
      </c>
      <c r="G354" s="8">
        <v>3</v>
      </c>
      <c r="H354" s="8">
        <v>36.119999999999997</v>
      </c>
      <c r="J354" s="8">
        <f t="shared" si="12"/>
        <v>38.238740664369963</v>
      </c>
      <c r="K354" s="8">
        <v>37.258260134514316</v>
      </c>
    </row>
    <row r="355" spans="1:11">
      <c r="A355" s="8">
        <v>3</v>
      </c>
      <c r="B355" s="8">
        <v>43.612499999999997</v>
      </c>
      <c r="G355" s="8">
        <v>4</v>
      </c>
      <c r="H355" s="8">
        <v>36.31</v>
      </c>
      <c r="J355" s="8">
        <f t="shared" si="12"/>
        <v>39.272220141785361</v>
      </c>
      <c r="K355" s="8">
        <v>37.258260134514316</v>
      </c>
    </row>
    <row r="356" spans="1:11">
      <c r="A356" s="8">
        <v>4</v>
      </c>
      <c r="B356" s="8">
        <v>43.612499999999997</v>
      </c>
      <c r="G356" s="8">
        <v>5</v>
      </c>
      <c r="H356" s="8">
        <v>36.81</v>
      </c>
      <c r="J356" s="8">
        <f t="shared" si="12"/>
        <v>39.272220141785361</v>
      </c>
      <c r="K356" s="8">
        <v>37.258260134514316</v>
      </c>
    </row>
    <row r="357" spans="1:11">
      <c r="A357" s="8">
        <v>5</v>
      </c>
      <c r="B357" s="8">
        <v>65.454545454545453</v>
      </c>
      <c r="G357" s="8">
        <v>6</v>
      </c>
      <c r="H357" s="8">
        <v>38.75</v>
      </c>
      <c r="J357" s="8">
        <f t="shared" si="12"/>
        <v>39.272220141785361</v>
      </c>
      <c r="K357" s="8">
        <v>37.258260134514316</v>
      </c>
    </row>
    <row r="358" spans="1:11">
      <c r="A358" s="8">
        <v>6</v>
      </c>
      <c r="B358" s="8">
        <v>65.454545454545453</v>
      </c>
      <c r="G358" s="8">
        <v>7</v>
      </c>
      <c r="H358" s="8">
        <v>40.75</v>
      </c>
      <c r="J358" s="8">
        <f t="shared" si="12"/>
        <v>39.272220141785361</v>
      </c>
      <c r="K358" s="8">
        <v>37.258260134514316</v>
      </c>
    </row>
    <row r="359" spans="1:11">
      <c r="A359" s="8">
        <v>7</v>
      </c>
      <c r="B359" s="8">
        <v>65.454545454545453</v>
      </c>
      <c r="G359" s="8">
        <v>8</v>
      </c>
      <c r="H359" s="8">
        <v>42.38</v>
      </c>
      <c r="J359" s="8">
        <f t="shared" si="12"/>
        <v>39.272220141785361</v>
      </c>
      <c r="K359" s="8">
        <v>37.258260134514316</v>
      </c>
    </row>
    <row r="360" spans="1:11">
      <c r="A360" s="8">
        <v>8</v>
      </c>
      <c r="B360" s="8">
        <v>65.454545454545453</v>
      </c>
      <c r="G360" s="8">
        <v>9</v>
      </c>
      <c r="H360" s="8">
        <v>43.62</v>
      </c>
      <c r="J360" s="8">
        <f t="shared" si="12"/>
        <v>39.272220141785361</v>
      </c>
      <c r="K360" s="8">
        <v>37.258260134514316</v>
      </c>
    </row>
    <row r="361" spans="1:11">
      <c r="A361" s="8">
        <v>9</v>
      </c>
      <c r="B361" s="8">
        <v>65.454545454545453</v>
      </c>
      <c r="G361" s="8">
        <v>10</v>
      </c>
      <c r="H361" s="8">
        <v>43.25</v>
      </c>
      <c r="J361" s="8">
        <f t="shared" si="12"/>
        <v>44.032489249880562</v>
      </c>
      <c r="K361" s="8">
        <v>37.258260134514316</v>
      </c>
    </row>
    <row r="362" spans="1:11">
      <c r="A362" s="8">
        <v>10</v>
      </c>
      <c r="B362" s="8">
        <v>65.454545454545453</v>
      </c>
      <c r="G362" s="8">
        <v>11</v>
      </c>
      <c r="H362" s="8">
        <v>42.88</v>
      </c>
      <c r="J362" s="8">
        <f t="shared" si="12"/>
        <v>44.032489249880562</v>
      </c>
      <c r="K362" s="8">
        <v>37.258260134514316</v>
      </c>
    </row>
    <row r="363" spans="1:11">
      <c r="A363" s="8">
        <v>11</v>
      </c>
      <c r="B363" s="8">
        <v>65.454545454545453</v>
      </c>
      <c r="G363" s="8">
        <v>12</v>
      </c>
      <c r="H363" s="8">
        <v>42.88</v>
      </c>
      <c r="J363" s="8">
        <f t="shared" si="12"/>
        <v>45.408504538939333</v>
      </c>
      <c r="K363" s="8">
        <v>37.258260134514316</v>
      </c>
    </row>
    <row r="364" spans="1:11">
      <c r="A364" s="8">
        <v>12</v>
      </c>
      <c r="B364" s="8">
        <v>65.454545454545453</v>
      </c>
      <c r="G364" s="8">
        <v>1715</v>
      </c>
      <c r="H364" s="8">
        <v>43.5</v>
      </c>
      <c r="J364" s="8">
        <f t="shared" si="12"/>
        <v>45.408504538939333</v>
      </c>
      <c r="K364" s="8">
        <f>4608/2093*720/(34.9+(2+2/11)/240)</f>
        <v>45.408504538939326</v>
      </c>
    </row>
    <row r="365" spans="1:11">
      <c r="A365" s="8">
        <v>1719</v>
      </c>
      <c r="B365" s="8">
        <v>65.454545454545453</v>
      </c>
      <c r="G365" s="8">
        <v>2</v>
      </c>
      <c r="H365" s="8">
        <v>42.81</v>
      </c>
      <c r="J365" s="8">
        <f t="shared" si="12"/>
        <v>46.873295007937365</v>
      </c>
      <c r="K365" s="8">
        <v>45.408504538939326</v>
      </c>
    </row>
    <row r="366" spans="1:11">
      <c r="A366" s="8">
        <v>2</v>
      </c>
      <c r="B366" s="8">
        <v>65.454545454545453</v>
      </c>
      <c r="G366" s="8">
        <v>3</v>
      </c>
      <c r="H366" s="8">
        <v>43.75</v>
      </c>
      <c r="J366" s="8">
        <f t="shared" si="12"/>
        <v>46.873295007937365</v>
      </c>
      <c r="K366" s="8">
        <v>45.408504538939326</v>
      </c>
    </row>
    <row r="367" spans="1:11">
      <c r="A367" s="8">
        <v>3</v>
      </c>
      <c r="B367" s="8">
        <v>65.454545454545453</v>
      </c>
      <c r="G367" s="8">
        <v>4</v>
      </c>
      <c r="H367" s="8">
        <v>44.75</v>
      </c>
      <c r="J367" s="8">
        <f t="shared" si="12"/>
        <v>48.435738174868618</v>
      </c>
      <c r="K367" s="8">
        <v>45.408504538939326</v>
      </c>
    </row>
    <row r="368" spans="1:11">
      <c r="A368" s="8">
        <v>4</v>
      </c>
      <c r="B368" s="8">
        <v>65.454545454545453</v>
      </c>
      <c r="G368" s="8">
        <v>5</v>
      </c>
      <c r="H368" s="8">
        <v>47.5</v>
      </c>
      <c r="J368" s="8">
        <f t="shared" si="12"/>
        <v>48.435738174868618</v>
      </c>
      <c r="K368" s="8">
        <v>45.408504538939326</v>
      </c>
    </row>
    <row r="369" spans="1:11">
      <c r="A369" s="8">
        <v>5</v>
      </c>
      <c r="B369" s="8">
        <v>65.454545454545453</v>
      </c>
      <c r="G369" s="8">
        <v>6</v>
      </c>
      <c r="H369" s="8">
        <v>46.88</v>
      </c>
      <c r="J369" s="8">
        <f t="shared" si="12"/>
        <v>50.105936042967535</v>
      </c>
      <c r="K369" s="8">
        <v>45.408504538939326</v>
      </c>
    </row>
    <row r="370" spans="1:11">
      <c r="A370" s="8">
        <v>6</v>
      </c>
      <c r="B370" s="8">
        <v>65.454545454545453</v>
      </c>
      <c r="G370" s="8">
        <v>7</v>
      </c>
      <c r="H370" s="8">
        <v>47.88</v>
      </c>
      <c r="J370" s="8">
        <f t="shared" si="12"/>
        <v>50.105936042967535</v>
      </c>
      <c r="K370" s="8">
        <v>45.408504538939326</v>
      </c>
    </row>
    <row r="371" spans="1:11">
      <c r="A371" s="8">
        <v>7</v>
      </c>
      <c r="B371" s="8">
        <v>65.454545454545453</v>
      </c>
      <c r="G371" s="8">
        <v>8</v>
      </c>
      <c r="H371" s="8">
        <v>47.25</v>
      </c>
      <c r="J371" s="8">
        <f t="shared" si="12"/>
        <v>50.105936042967535</v>
      </c>
      <c r="K371" s="8">
        <v>45.408504538939326</v>
      </c>
    </row>
    <row r="372" spans="1:11">
      <c r="A372" s="8">
        <v>8</v>
      </c>
      <c r="B372" s="8">
        <v>65.454545454545453</v>
      </c>
      <c r="G372" s="8">
        <v>9</v>
      </c>
      <c r="H372" s="8">
        <v>49.75</v>
      </c>
      <c r="J372" s="8">
        <f t="shared" ref="J372:J435" si="14">4608/2093*240*3/B325</f>
        <v>51.895433758787803</v>
      </c>
      <c r="K372" s="8">
        <v>45.408504538939326</v>
      </c>
    </row>
    <row r="373" spans="1:11">
      <c r="A373" s="8">
        <v>9</v>
      </c>
      <c r="B373" s="8">
        <v>65.454545454545453</v>
      </c>
      <c r="G373" s="8">
        <v>10</v>
      </c>
      <c r="H373" s="8">
        <v>54</v>
      </c>
      <c r="J373" s="8">
        <f t="shared" si="14"/>
        <v>51.895433758787803</v>
      </c>
      <c r="K373" s="8">
        <v>45.408504538939326</v>
      </c>
    </row>
    <row r="374" spans="1:11">
      <c r="A374" s="8">
        <v>10</v>
      </c>
      <c r="B374" s="8">
        <v>63.272727272727273</v>
      </c>
      <c r="G374" s="8">
        <v>11</v>
      </c>
      <c r="H374" s="8">
        <v>50.5</v>
      </c>
      <c r="J374" s="8">
        <f t="shared" si="14"/>
        <v>36.346680722171399</v>
      </c>
      <c r="K374" s="8">
        <v>45.408504538939326</v>
      </c>
    </row>
    <row r="375" spans="1:11">
      <c r="A375" s="8">
        <v>11</v>
      </c>
      <c r="B375" s="8">
        <v>63.272727272727273</v>
      </c>
      <c r="G375" s="8">
        <v>12</v>
      </c>
      <c r="H375" s="8">
        <v>52.06</v>
      </c>
      <c r="J375" s="8">
        <f t="shared" si="14"/>
        <v>36.346680722171399</v>
      </c>
      <c r="K375" s="8">
        <v>45.408504538939326</v>
      </c>
    </row>
    <row r="376" spans="1:11">
      <c r="A376" s="8">
        <v>12</v>
      </c>
      <c r="B376" s="8">
        <v>61.090909090909093</v>
      </c>
      <c r="G376" s="8">
        <v>1716</v>
      </c>
      <c r="H376" s="8">
        <v>40</v>
      </c>
      <c r="J376" s="8">
        <f t="shared" si="14"/>
        <v>36.346680722171399</v>
      </c>
      <c r="K376" s="8">
        <v>45.408504538939326</v>
      </c>
    </row>
    <row r="377" spans="1:11">
      <c r="A377" s="8">
        <v>1720</v>
      </c>
      <c r="B377" s="8">
        <v>65.454545454545453</v>
      </c>
      <c r="G377" s="8">
        <v>2</v>
      </c>
      <c r="H377" s="8">
        <v>43.38</v>
      </c>
      <c r="J377" s="8">
        <f t="shared" si="14"/>
        <v>36.346680722171399</v>
      </c>
      <c r="K377" s="8">
        <v>45.408504538939326</v>
      </c>
    </row>
    <row r="378" spans="1:11">
      <c r="A378" s="8">
        <v>2</v>
      </c>
      <c r="B378" s="8">
        <v>65.459090909090904</v>
      </c>
      <c r="G378" s="8">
        <v>3</v>
      </c>
      <c r="H378" s="8">
        <v>44.25</v>
      </c>
      <c r="J378" s="8">
        <f t="shared" si="14"/>
        <v>36.346680722171399</v>
      </c>
      <c r="K378" s="8">
        <v>45.408504538939326</v>
      </c>
    </row>
    <row r="379" spans="1:11">
      <c r="A379" s="8">
        <v>3</v>
      </c>
      <c r="B379" s="8">
        <v>98.181818181818187</v>
      </c>
      <c r="G379" s="8">
        <v>4</v>
      </c>
      <c r="H379" s="8">
        <v>46</v>
      </c>
      <c r="J379" s="8">
        <f t="shared" si="14"/>
        <v>36.346680722171399</v>
      </c>
      <c r="K379" s="8">
        <v>45.408504538939326</v>
      </c>
    </row>
    <row r="380" spans="1:11">
      <c r="A380" s="8">
        <v>4</v>
      </c>
      <c r="B380" s="8">
        <v>76.36363636363636</v>
      </c>
      <c r="G380" s="8">
        <v>5</v>
      </c>
      <c r="H380" s="8">
        <v>46</v>
      </c>
      <c r="J380" s="8">
        <f t="shared" si="14"/>
        <v>36.346680722171399</v>
      </c>
      <c r="K380" s="8">
        <v>45.408504538939326</v>
      </c>
    </row>
    <row r="381" spans="1:11">
      <c r="A381" s="8">
        <v>5</v>
      </c>
      <c r="B381" s="8">
        <v>70.909090909090907</v>
      </c>
      <c r="G381" s="8">
        <v>6</v>
      </c>
      <c r="H381" s="8">
        <v>46.44</v>
      </c>
      <c r="J381" s="8">
        <f t="shared" si="14"/>
        <v>36.346680722171399</v>
      </c>
      <c r="K381" s="8">
        <v>45.408504538939326</v>
      </c>
    </row>
    <row r="382" spans="1:11">
      <c r="A382" s="8">
        <v>6</v>
      </c>
      <c r="B382" s="8">
        <v>90</v>
      </c>
      <c r="G382" s="8">
        <v>7</v>
      </c>
      <c r="H382" s="8">
        <v>45.24</v>
      </c>
      <c r="J382" s="8">
        <f t="shared" si="14"/>
        <v>36.346680722171399</v>
      </c>
      <c r="K382" s="8">
        <v>45.408504538939326</v>
      </c>
    </row>
    <row r="383" spans="1:11">
      <c r="A383" s="8">
        <v>7</v>
      </c>
      <c r="B383" s="8">
        <v>81.818181818181813</v>
      </c>
      <c r="G383" s="8">
        <v>8</v>
      </c>
      <c r="H383" s="8">
        <v>46.25</v>
      </c>
      <c r="J383" s="8">
        <f t="shared" si="14"/>
        <v>36.346680722171399</v>
      </c>
      <c r="K383" s="8">
        <v>45.408504538939326</v>
      </c>
    </row>
    <row r="384" spans="1:11">
      <c r="A384" s="8">
        <v>8</v>
      </c>
      <c r="B384" s="8">
        <v>130.90909090909091</v>
      </c>
      <c r="G384" s="8">
        <v>9</v>
      </c>
      <c r="H384" s="8">
        <v>46.81</v>
      </c>
      <c r="J384" s="8">
        <f t="shared" si="14"/>
        <v>36.346680722171399</v>
      </c>
      <c r="K384" s="8">
        <v>45.408504538939326</v>
      </c>
    </row>
    <row r="385" spans="1:11">
      <c r="A385" s="8">
        <v>9</v>
      </c>
      <c r="B385" s="8">
        <v>114.59090909090909</v>
      </c>
      <c r="G385" s="8">
        <v>10</v>
      </c>
      <c r="H385" s="8">
        <v>46.62</v>
      </c>
      <c r="J385" s="8">
        <f t="shared" si="14"/>
        <v>36.346680722171399</v>
      </c>
      <c r="K385" s="8">
        <v>45.408504538939326</v>
      </c>
    </row>
    <row r="386" spans="1:11">
      <c r="A386" s="8">
        <v>10</v>
      </c>
      <c r="B386" s="8">
        <v>98.181818181818187</v>
      </c>
      <c r="G386" s="8">
        <v>11</v>
      </c>
      <c r="H386" s="8">
        <v>46.56</v>
      </c>
      <c r="J386" s="8">
        <f t="shared" si="14"/>
        <v>36.346680722171399</v>
      </c>
      <c r="K386" s="8">
        <v>45.408504538939326</v>
      </c>
    </row>
    <row r="387" spans="1:11">
      <c r="A387" s="8">
        <v>11</v>
      </c>
      <c r="B387" s="8">
        <v>85.090909090909093</v>
      </c>
      <c r="G387" s="8">
        <v>12</v>
      </c>
      <c r="H387" s="8">
        <v>46.81</v>
      </c>
      <c r="J387" s="8">
        <f t="shared" si="14"/>
        <v>36.346680722171399</v>
      </c>
      <c r="K387" s="8">
        <v>45.408504538939326</v>
      </c>
    </row>
    <row r="388" spans="1:11">
      <c r="A388" s="8">
        <v>12</v>
      </c>
      <c r="B388" s="8">
        <v>68.727272727272734</v>
      </c>
      <c r="G388" s="8">
        <v>1717</v>
      </c>
      <c r="H388" s="8">
        <v>47.56</v>
      </c>
      <c r="J388" s="8">
        <f t="shared" si="14"/>
        <v>36.346680722171399</v>
      </c>
      <c r="K388" s="8">
        <v>45.408504538939326</v>
      </c>
    </row>
    <row r="389" spans="1:11">
      <c r="A389" s="8">
        <v>1721</v>
      </c>
      <c r="B389" s="8">
        <v>68.727272727272734</v>
      </c>
      <c r="G389" s="8">
        <v>2</v>
      </c>
      <c r="H389" s="8">
        <v>47.62</v>
      </c>
      <c r="J389" s="8">
        <f t="shared" si="14"/>
        <v>36.346680722171399</v>
      </c>
      <c r="K389" s="8">
        <v>45.408504538939326</v>
      </c>
    </row>
    <row r="390" spans="1:11">
      <c r="A390" s="8">
        <v>2</v>
      </c>
      <c r="B390" s="8">
        <v>68.727272727272734</v>
      </c>
      <c r="G390" s="8">
        <v>3</v>
      </c>
      <c r="H390" s="8">
        <v>47.31</v>
      </c>
      <c r="J390" s="8">
        <f t="shared" si="14"/>
        <v>36.346680722171399</v>
      </c>
      <c r="K390" s="8">
        <v>45.408504538939326</v>
      </c>
    </row>
    <row r="391" spans="1:11">
      <c r="A391" s="8">
        <v>3</v>
      </c>
      <c r="B391" s="8">
        <v>68.727272727272734</v>
      </c>
      <c r="G391" s="8">
        <v>4</v>
      </c>
      <c r="H391" s="8">
        <v>46.62</v>
      </c>
      <c r="J391" s="8">
        <f t="shared" si="14"/>
        <v>36.346680722171399</v>
      </c>
      <c r="K391" s="8">
        <v>45.408504538939326</v>
      </c>
    </row>
    <row r="392" spans="1:11">
      <c r="A392" s="8">
        <v>4</v>
      </c>
      <c r="B392" s="8">
        <v>68.727272727272734</v>
      </c>
      <c r="G392" s="8">
        <v>5</v>
      </c>
      <c r="H392" s="8">
        <v>47</v>
      </c>
      <c r="J392" s="8">
        <f t="shared" si="14"/>
        <v>36.346680722171399</v>
      </c>
      <c r="K392" s="8">
        <v>45.408504538939326</v>
      </c>
    </row>
    <row r="393" spans="1:11">
      <c r="A393" s="8">
        <v>5</v>
      </c>
      <c r="B393" s="8">
        <v>68.727272727272734</v>
      </c>
      <c r="G393" s="8">
        <v>6</v>
      </c>
      <c r="H393" s="8">
        <v>47.25</v>
      </c>
      <c r="J393" s="8">
        <f t="shared" si="14"/>
        <v>36.346680722171399</v>
      </c>
      <c r="K393" s="8">
        <v>45.408504538939326</v>
      </c>
    </row>
    <row r="394" spans="1:11">
      <c r="A394" s="8">
        <v>6</v>
      </c>
      <c r="B394" s="8">
        <v>68.727272727272734</v>
      </c>
      <c r="G394" s="8">
        <v>7</v>
      </c>
      <c r="H394" s="8">
        <v>47.69</v>
      </c>
      <c r="J394" s="8">
        <f t="shared" si="14"/>
        <v>36.346680722171399</v>
      </c>
      <c r="K394" s="8">
        <v>45.408504538939326</v>
      </c>
    </row>
    <row r="395" spans="1:11">
      <c r="A395" s="8">
        <v>7</v>
      </c>
      <c r="B395" s="8">
        <v>68.727272727272734</v>
      </c>
      <c r="G395" s="8">
        <v>8</v>
      </c>
      <c r="H395" s="8">
        <v>47.44</v>
      </c>
      <c r="J395" s="8">
        <f t="shared" si="14"/>
        <v>36.346680722171399</v>
      </c>
      <c r="K395" s="8">
        <v>45.408504538939326</v>
      </c>
    </row>
    <row r="396" spans="1:11">
      <c r="A396" s="8">
        <v>8</v>
      </c>
      <c r="B396" s="8">
        <v>68.727272727272734</v>
      </c>
      <c r="G396" s="8">
        <v>9</v>
      </c>
      <c r="H396" s="8">
        <v>47.75</v>
      </c>
      <c r="J396" s="8">
        <f t="shared" si="14"/>
        <v>36.346680722171399</v>
      </c>
      <c r="K396" s="8">
        <v>45.408504538939326</v>
      </c>
    </row>
    <row r="397" spans="1:11">
      <c r="A397" s="8">
        <v>9</v>
      </c>
      <c r="B397" s="8">
        <v>68.727272727272734</v>
      </c>
      <c r="G397" s="8">
        <v>10</v>
      </c>
      <c r="H397" s="8">
        <v>47.62</v>
      </c>
      <c r="J397" s="8">
        <f t="shared" si="14"/>
        <v>36.346680722171399</v>
      </c>
      <c r="K397" s="8">
        <v>45.408504538939326</v>
      </c>
    </row>
    <row r="398" spans="1:11">
      <c r="A398" s="8">
        <v>10</v>
      </c>
      <c r="B398" s="8">
        <v>68.727272727272734</v>
      </c>
      <c r="G398" s="8">
        <v>11</v>
      </c>
      <c r="H398" s="8">
        <v>46.75</v>
      </c>
      <c r="J398" s="8">
        <f t="shared" si="14"/>
        <v>36.346680722171399</v>
      </c>
      <c r="K398" s="8">
        <v>45.408504538939326</v>
      </c>
    </row>
    <row r="399" spans="1:11">
      <c r="A399" s="8">
        <v>11</v>
      </c>
      <c r="B399" s="8">
        <v>68.727272727272734</v>
      </c>
      <c r="G399" s="8">
        <v>12</v>
      </c>
      <c r="H399" s="8">
        <v>47.5</v>
      </c>
      <c r="J399" s="8">
        <f t="shared" si="14"/>
        <v>36.346680722171399</v>
      </c>
      <c r="K399" s="8">
        <v>45.408504538939326</v>
      </c>
    </row>
    <row r="400" spans="1:11">
      <c r="A400" s="8">
        <v>12</v>
      </c>
      <c r="B400" s="8">
        <v>68.727272727272734</v>
      </c>
      <c r="G400" s="8">
        <v>1718</v>
      </c>
      <c r="H400" s="8">
        <v>47.5</v>
      </c>
      <c r="J400" s="8">
        <f t="shared" si="14"/>
        <v>36.346680722171399</v>
      </c>
      <c r="K400" s="8">
        <v>45.408504538939326</v>
      </c>
    </row>
    <row r="401" spans="1:11">
      <c r="A401" s="8">
        <v>1722</v>
      </c>
      <c r="B401" s="8">
        <v>68.727272727272734</v>
      </c>
      <c r="G401" s="8">
        <v>2</v>
      </c>
      <c r="H401" s="8">
        <v>45.38</v>
      </c>
      <c r="J401" s="8">
        <f t="shared" si="14"/>
        <v>36.346680722171399</v>
      </c>
      <c r="K401" s="8">
        <v>45.408504538939326</v>
      </c>
    </row>
    <row r="402" spans="1:11">
      <c r="A402" s="8">
        <v>2</v>
      </c>
      <c r="B402" s="8">
        <v>68.727272727272734</v>
      </c>
      <c r="G402" s="8">
        <v>3</v>
      </c>
      <c r="H402" s="8">
        <v>44.12</v>
      </c>
      <c r="J402" s="8">
        <f t="shared" si="14"/>
        <v>36.346680722171399</v>
      </c>
      <c r="K402" s="8">
        <v>45.408504538939326</v>
      </c>
    </row>
    <row r="403" spans="1:11">
      <c r="A403" s="8">
        <v>3</v>
      </c>
      <c r="B403" s="8">
        <v>68.727272727272734</v>
      </c>
      <c r="G403" s="8">
        <v>4</v>
      </c>
      <c r="H403" s="8">
        <v>42.75</v>
      </c>
      <c r="J403" s="8">
        <f t="shared" si="14"/>
        <v>36.346680722171399</v>
      </c>
      <c r="K403" s="8">
        <v>45.408504538939326</v>
      </c>
    </row>
    <row r="404" spans="1:11">
      <c r="A404" s="8">
        <v>4</v>
      </c>
      <c r="B404" s="8">
        <v>68.727272727272734</v>
      </c>
      <c r="G404" s="8">
        <v>5</v>
      </c>
      <c r="H404" s="8">
        <v>40.25</v>
      </c>
      <c r="J404" s="8">
        <f t="shared" si="14"/>
        <v>24.217869087434309</v>
      </c>
      <c r="K404" s="8">
        <v>45.408504538939326</v>
      </c>
    </row>
    <row r="405" spans="1:11">
      <c r="A405" s="8">
        <v>5</v>
      </c>
      <c r="B405" s="8">
        <v>68.727272727272734</v>
      </c>
      <c r="G405" s="8">
        <v>6</v>
      </c>
      <c r="H405" s="8">
        <v>32.56</v>
      </c>
      <c r="J405" s="8">
        <f t="shared" si="14"/>
        <v>24.217869087434309</v>
      </c>
      <c r="K405" s="8">
        <v>45.408504538939326</v>
      </c>
    </row>
    <row r="406" spans="1:11">
      <c r="A406" s="8">
        <v>6</v>
      </c>
      <c r="B406" s="8">
        <v>68.727272727272734</v>
      </c>
      <c r="G406" s="8">
        <v>7</v>
      </c>
      <c r="H406" s="8">
        <v>32.06</v>
      </c>
      <c r="J406" s="8">
        <f t="shared" si="14"/>
        <v>24.217869087434309</v>
      </c>
      <c r="K406" s="8">
        <v>45.408504538939326</v>
      </c>
    </row>
    <row r="407" spans="1:11">
      <c r="A407" s="8">
        <v>7</v>
      </c>
      <c r="B407" s="8">
        <v>68.727272727272734</v>
      </c>
      <c r="G407" s="8">
        <v>8</v>
      </c>
      <c r="H407" s="8">
        <v>31.94</v>
      </c>
      <c r="J407" s="8">
        <f t="shared" si="14"/>
        <v>24.217869087434309</v>
      </c>
      <c r="K407" s="8">
        <v>45.408504538939326</v>
      </c>
    </row>
    <row r="408" spans="1:11">
      <c r="A408" s="8">
        <v>8</v>
      </c>
      <c r="B408" s="8">
        <v>68.727272727272734</v>
      </c>
      <c r="G408" s="8">
        <v>9</v>
      </c>
      <c r="H408" s="8">
        <v>31.75</v>
      </c>
      <c r="J408" s="8">
        <f t="shared" si="14"/>
        <v>24.217869087434309</v>
      </c>
      <c r="K408" s="8">
        <v>45.408504538939326</v>
      </c>
    </row>
    <row r="409" spans="1:11">
      <c r="A409" s="8">
        <v>9</v>
      </c>
      <c r="B409" s="8">
        <v>68.727272727272734</v>
      </c>
      <c r="G409" s="8">
        <v>10</v>
      </c>
      <c r="H409" s="8">
        <v>31.38</v>
      </c>
      <c r="J409" s="8">
        <f t="shared" si="14"/>
        <v>24.217869087434309</v>
      </c>
      <c r="K409" s="8">
        <v>45.408504538939326</v>
      </c>
    </row>
    <row r="410" spans="1:11">
      <c r="A410" s="8">
        <v>10</v>
      </c>
      <c r="B410" s="8">
        <v>68.727272727272734</v>
      </c>
      <c r="G410" s="8">
        <v>11</v>
      </c>
      <c r="H410" s="8">
        <v>30.25</v>
      </c>
      <c r="J410" s="8">
        <f t="shared" si="14"/>
        <v>24.217869087434309</v>
      </c>
      <c r="K410" s="8">
        <v>45.408504538939326</v>
      </c>
    </row>
    <row r="411" spans="1:11">
      <c r="A411" s="8">
        <v>11</v>
      </c>
      <c r="B411" s="8">
        <v>68.727272727272734</v>
      </c>
      <c r="G411" s="8">
        <v>12</v>
      </c>
      <c r="H411" s="8">
        <v>30.19</v>
      </c>
      <c r="J411" s="8">
        <f t="shared" si="14"/>
        <v>24.217869087434309</v>
      </c>
      <c r="K411" s="8">
        <v>45.408504538939326</v>
      </c>
    </row>
    <row r="412" spans="1:11">
      <c r="A412" s="8">
        <v>12</v>
      </c>
      <c r="B412" s="8">
        <v>68.727272727272734</v>
      </c>
      <c r="G412" s="8">
        <v>1719</v>
      </c>
      <c r="H412" s="8">
        <v>29.88</v>
      </c>
      <c r="J412" s="8">
        <f t="shared" si="14"/>
        <v>24.217869087434309</v>
      </c>
      <c r="K412" s="8">
        <v>45.408504538939326</v>
      </c>
    </row>
    <row r="413" spans="1:11">
      <c r="A413" s="8">
        <v>1723</v>
      </c>
      <c r="B413" s="8">
        <v>68.727272727272734</v>
      </c>
      <c r="G413" s="8">
        <v>2</v>
      </c>
      <c r="H413" s="8">
        <v>30.25</v>
      </c>
      <c r="J413" s="8">
        <f t="shared" si="14"/>
        <v>24.217869087434309</v>
      </c>
      <c r="K413" s="8">
        <v>45.408504538939326</v>
      </c>
    </row>
    <row r="414" spans="1:11">
      <c r="A414" s="8">
        <v>2</v>
      </c>
      <c r="B414" s="8">
        <v>68.727272727272734</v>
      </c>
      <c r="G414" s="8">
        <v>3</v>
      </c>
      <c r="H414" s="8">
        <v>28.75</v>
      </c>
      <c r="J414" s="8">
        <f t="shared" si="14"/>
        <v>24.217869087434309</v>
      </c>
      <c r="K414" s="8">
        <v>45.408504538939326</v>
      </c>
    </row>
    <row r="415" spans="1:11">
      <c r="A415" s="8">
        <v>3</v>
      </c>
      <c r="B415" s="8">
        <v>68.727272727272734</v>
      </c>
      <c r="G415" s="8">
        <v>4</v>
      </c>
      <c r="H415" s="8">
        <v>28.88</v>
      </c>
      <c r="J415" s="8">
        <f t="shared" si="14"/>
        <v>24.217869087434309</v>
      </c>
      <c r="K415" s="8">
        <v>45.408504538939326</v>
      </c>
    </row>
    <row r="416" spans="1:11">
      <c r="A416" s="8">
        <v>4</v>
      </c>
      <c r="B416" s="8">
        <v>68.727272727272734</v>
      </c>
      <c r="G416" s="8">
        <v>5</v>
      </c>
      <c r="H416" s="8">
        <v>29.5</v>
      </c>
      <c r="J416" s="8">
        <f t="shared" si="14"/>
        <v>24.217869087434309</v>
      </c>
      <c r="K416" s="8">
        <v>45.408504538939326</v>
      </c>
    </row>
    <row r="417" spans="1:11">
      <c r="A417" s="8">
        <v>5</v>
      </c>
      <c r="B417" s="8">
        <v>68.727272727272734</v>
      </c>
      <c r="G417" s="8">
        <v>6</v>
      </c>
      <c r="H417" s="8">
        <v>29</v>
      </c>
      <c r="J417" s="8">
        <f t="shared" si="14"/>
        <v>24.217869087434309</v>
      </c>
      <c r="K417" s="8">
        <v>45.408504538939326</v>
      </c>
    </row>
    <row r="418" spans="1:11">
      <c r="A418" s="8">
        <v>6</v>
      </c>
      <c r="B418" s="8">
        <v>68.727272727272734</v>
      </c>
      <c r="G418" s="8">
        <v>7</v>
      </c>
      <c r="H418" s="8">
        <v>29</v>
      </c>
      <c r="J418" s="8">
        <f t="shared" si="14"/>
        <v>24.217869087434309</v>
      </c>
      <c r="K418" s="8">
        <v>45.408504538939326</v>
      </c>
    </row>
    <row r="419" spans="1:11">
      <c r="A419" s="8">
        <v>7</v>
      </c>
      <c r="B419" s="8">
        <v>68.727272727272734</v>
      </c>
      <c r="G419" s="8">
        <v>8</v>
      </c>
      <c r="H419" s="8">
        <v>29.12</v>
      </c>
      <c r="J419" s="8">
        <f t="shared" si="14"/>
        <v>24.217869087434309</v>
      </c>
      <c r="K419" s="8">
        <v>45.408504538939326</v>
      </c>
    </row>
    <row r="420" spans="1:11">
      <c r="A420" s="8">
        <v>8</v>
      </c>
      <c r="B420" s="8">
        <v>75.272727272727266</v>
      </c>
      <c r="G420" s="8">
        <v>9</v>
      </c>
      <c r="H420" s="8">
        <v>28.44</v>
      </c>
      <c r="J420" s="8">
        <f t="shared" si="14"/>
        <v>24.217869087434309</v>
      </c>
      <c r="K420" s="8">
        <v>45.408504538939326</v>
      </c>
    </row>
    <row r="421" spans="1:11">
      <c r="A421" s="8">
        <v>9</v>
      </c>
      <c r="B421" s="8">
        <v>75.272727272727266</v>
      </c>
      <c r="G421" s="8">
        <v>10</v>
      </c>
      <c r="H421" s="8">
        <v>28.25</v>
      </c>
      <c r="J421" s="8">
        <f t="shared" si="14"/>
        <v>25.052968021483768</v>
      </c>
      <c r="K421" s="8">
        <f>4608/2093*720/(50.6+(4+4/11)/240)</f>
        <v>31.316210026854705</v>
      </c>
    </row>
    <row r="422" spans="1:11">
      <c r="A422" s="8">
        <v>10</v>
      </c>
      <c r="B422" s="8">
        <v>75.272727272727266</v>
      </c>
      <c r="G422" s="8">
        <v>11</v>
      </c>
      <c r="H422" s="8">
        <v>25.5</v>
      </c>
      <c r="J422" s="8">
        <f t="shared" si="14"/>
        <v>25.052968021483768</v>
      </c>
      <c r="K422" s="8">
        <v>31.316210026854705</v>
      </c>
    </row>
    <row r="423" spans="1:11">
      <c r="A423" s="8">
        <v>11</v>
      </c>
      <c r="B423" s="8">
        <v>75.272727272727266</v>
      </c>
      <c r="G423" s="8">
        <v>12</v>
      </c>
      <c r="H423" s="8">
        <v>24</v>
      </c>
      <c r="J423" s="8">
        <f t="shared" si="14"/>
        <v>25.947716879393901</v>
      </c>
      <c r="K423" s="8">
        <v>31.316210026854705</v>
      </c>
    </row>
    <row r="424" spans="1:11">
      <c r="A424" s="8">
        <v>12</v>
      </c>
      <c r="B424" s="8">
        <v>75.272727272727266</v>
      </c>
      <c r="G424" s="8">
        <v>1720</v>
      </c>
      <c r="H424" s="8">
        <v>22.89</v>
      </c>
      <c r="J424" s="8">
        <f t="shared" si="14"/>
        <v>24.217869087434309</v>
      </c>
      <c r="K424" s="8">
        <v>31.316210026854705</v>
      </c>
    </row>
    <row r="425" spans="1:11">
      <c r="A425" s="8">
        <v>1724</v>
      </c>
      <c r="B425" s="8">
        <v>75.272727272727266</v>
      </c>
      <c r="G425" s="8">
        <v>2</v>
      </c>
      <c r="H425" s="8">
        <v>19.25</v>
      </c>
      <c r="J425" s="8">
        <f t="shared" si="14"/>
        <v>24.216187407753218</v>
      </c>
      <c r="K425" s="8">
        <f>4608/2093*720/60</f>
        <v>26.419493549928333</v>
      </c>
    </row>
    <row r="426" spans="1:11">
      <c r="A426" s="8">
        <v>2</v>
      </c>
      <c r="B426" s="8">
        <v>67.090909090909093</v>
      </c>
      <c r="G426" s="8">
        <v>3</v>
      </c>
      <c r="H426" s="8">
        <v>18.25</v>
      </c>
      <c r="J426" s="8">
        <f t="shared" si="14"/>
        <v>16.145246058289537</v>
      </c>
      <c r="K426" s="8">
        <f>4608/2093*720/72</f>
        <v>22.016244624940278</v>
      </c>
    </row>
    <row r="427" spans="1:11">
      <c r="A427" s="8">
        <v>3</v>
      </c>
      <c r="B427" s="8">
        <v>67.090909090909093</v>
      </c>
      <c r="G427" s="8">
        <v>4</v>
      </c>
      <c r="H427" s="8">
        <v>19.75</v>
      </c>
      <c r="J427" s="8">
        <f t="shared" si="14"/>
        <v>20.75817350351512</v>
      </c>
      <c r="K427" s="8">
        <f>4608/2093*720/72</f>
        <v>22.016244624940278</v>
      </c>
    </row>
    <row r="428" spans="1:11">
      <c r="A428" s="8">
        <v>4</v>
      </c>
      <c r="B428" s="8">
        <v>54.545454545454547</v>
      </c>
      <c r="G428" s="8">
        <v>5</v>
      </c>
      <c r="H428" s="8">
        <v>14.12</v>
      </c>
      <c r="J428" s="8">
        <f t="shared" si="14"/>
        <v>22.354956080708593</v>
      </c>
      <c r="K428" s="8">
        <f>4608/2093*720/72</f>
        <v>22.016244624940278</v>
      </c>
    </row>
    <row r="429" spans="1:11">
      <c r="A429" s="8">
        <v>5</v>
      </c>
      <c r="B429" s="8">
        <v>54.545454545454547</v>
      </c>
      <c r="G429" s="8">
        <v>6</v>
      </c>
      <c r="H429" s="8">
        <v>12.12</v>
      </c>
      <c r="J429" s="8">
        <f t="shared" si="14"/>
        <v>17.612995699952226</v>
      </c>
      <c r="K429" s="8">
        <f>4608/2093*720/72</f>
        <v>22.016244624940278</v>
      </c>
    </row>
    <row r="430" spans="1:11">
      <c r="A430" s="8">
        <v>6</v>
      </c>
      <c r="B430" s="8">
        <v>54.545454545454547</v>
      </c>
      <c r="G430" s="8">
        <v>7</v>
      </c>
      <c r="H430" s="8">
        <v>7.5</v>
      </c>
      <c r="J430" s="8">
        <f t="shared" si="14"/>
        <v>19.374295269947449</v>
      </c>
      <c r="K430" s="8">
        <f>4608/2093*720/72</f>
        <v>22.016244624940278</v>
      </c>
    </row>
    <row r="431" spans="1:11">
      <c r="A431" s="8">
        <v>7</v>
      </c>
      <c r="B431" s="8">
        <v>54.545454545454547</v>
      </c>
      <c r="G431" s="8">
        <v>8</v>
      </c>
      <c r="H431" s="8">
        <v>15.12</v>
      </c>
      <c r="J431" s="8">
        <f t="shared" si="14"/>
        <v>12.108934543717154</v>
      </c>
      <c r="K431" s="8">
        <f>4608/2093*720/130.909</f>
        <v>12.108942952705315</v>
      </c>
    </row>
    <row r="432" spans="1:11">
      <c r="A432" s="8">
        <v>8</v>
      </c>
      <c r="B432" s="8">
        <v>54.545454545454547</v>
      </c>
      <c r="G432" s="8">
        <v>9</v>
      </c>
      <c r="J432" s="8">
        <f t="shared" si="14"/>
        <v>13.833292933718923</v>
      </c>
      <c r="K432" s="8">
        <v>19.81462016244625</v>
      </c>
    </row>
    <row r="433" spans="1:11">
      <c r="A433" s="8">
        <v>9</v>
      </c>
      <c r="B433" s="8">
        <v>43.636363636363633</v>
      </c>
      <c r="G433" s="8">
        <v>10</v>
      </c>
      <c r="J433" s="8">
        <f t="shared" si="14"/>
        <v>16.145246058289537</v>
      </c>
      <c r="K433" s="8">
        <v>19.81462016244625</v>
      </c>
    </row>
    <row r="434" spans="1:11">
      <c r="A434" s="8">
        <v>10</v>
      </c>
      <c r="B434" s="8">
        <v>45.272727272727273</v>
      </c>
      <c r="G434" s="8">
        <v>11</v>
      </c>
      <c r="J434" s="8">
        <f t="shared" si="14"/>
        <v>18.629130067257158</v>
      </c>
      <c r="K434" s="8">
        <v>19.81462016244625</v>
      </c>
    </row>
    <row r="435" spans="1:11">
      <c r="A435" s="8">
        <v>11</v>
      </c>
      <c r="B435" s="8">
        <v>45.272727272727273</v>
      </c>
      <c r="G435" s="8">
        <v>12</v>
      </c>
      <c r="J435" s="8">
        <f t="shared" si="14"/>
        <v>23.06463722612791</v>
      </c>
      <c r="K435" s="8">
        <v>19.81462016244625</v>
      </c>
    </row>
    <row r="436" spans="1:11">
      <c r="A436" s="8">
        <v>12</v>
      </c>
      <c r="B436" s="8">
        <v>45.272727272727273</v>
      </c>
      <c r="G436" s="8">
        <v>1721</v>
      </c>
      <c r="H436" s="8">
        <v>25.75</v>
      </c>
      <c r="J436" s="8">
        <f t="shared" ref="J436:J499" si="15">4608/2093*240*3/B389</f>
        <v>23.06463722612791</v>
      </c>
      <c r="K436" s="8">
        <v>19.81462016244625</v>
      </c>
    </row>
    <row r="437" spans="1:11">
      <c r="A437" s="8">
        <v>1725</v>
      </c>
      <c r="B437" s="8">
        <v>45.272727272727273</v>
      </c>
      <c r="G437" s="8">
        <v>2</v>
      </c>
      <c r="H437" s="8">
        <v>25.12</v>
      </c>
      <c r="J437" s="8">
        <f t="shared" si="15"/>
        <v>23.06463722612791</v>
      </c>
      <c r="K437" s="8">
        <v>19.81462016244625</v>
      </c>
    </row>
    <row r="438" spans="1:11">
      <c r="A438" s="8">
        <v>2</v>
      </c>
      <c r="B438" s="8">
        <v>45.272727272727273</v>
      </c>
      <c r="G438" s="8">
        <v>3</v>
      </c>
      <c r="H438" s="8">
        <v>24.5</v>
      </c>
      <c r="J438" s="8">
        <f t="shared" si="15"/>
        <v>23.06463722612791</v>
      </c>
      <c r="K438" s="8">
        <v>19.81462016244625</v>
      </c>
    </row>
    <row r="439" spans="1:11">
      <c r="A439" s="8">
        <v>3</v>
      </c>
      <c r="B439" s="8">
        <v>45.272727272727273</v>
      </c>
      <c r="G439" s="8">
        <v>4</v>
      </c>
      <c r="H439" s="8">
        <v>24.25</v>
      </c>
      <c r="J439" s="8">
        <f t="shared" si="15"/>
        <v>23.06463722612791</v>
      </c>
      <c r="K439" s="8">
        <v>19.81462016244625</v>
      </c>
    </row>
    <row r="440" spans="1:11">
      <c r="A440" s="8">
        <v>4</v>
      </c>
      <c r="B440" s="8">
        <v>45.272727272727273</v>
      </c>
      <c r="G440" s="8">
        <v>5</v>
      </c>
      <c r="H440" s="8">
        <v>24.5</v>
      </c>
      <c r="J440" s="8">
        <f t="shared" si="15"/>
        <v>23.06463722612791</v>
      </c>
      <c r="K440" s="8">
        <v>19.81462016244625</v>
      </c>
    </row>
    <row r="441" spans="1:11">
      <c r="A441" s="8">
        <v>5</v>
      </c>
      <c r="B441" s="8">
        <v>45.272727272727273</v>
      </c>
      <c r="G441" s="8">
        <v>6</v>
      </c>
      <c r="H441" s="8">
        <v>24.5</v>
      </c>
      <c r="J441" s="8">
        <f t="shared" si="15"/>
        <v>23.06463722612791</v>
      </c>
      <c r="K441" s="8">
        <v>19.81462016244625</v>
      </c>
    </row>
    <row r="442" spans="1:11">
      <c r="A442" s="8">
        <v>6</v>
      </c>
      <c r="B442" s="8">
        <v>45.272727272727273</v>
      </c>
      <c r="G442" s="8">
        <v>7</v>
      </c>
      <c r="H442" s="8">
        <v>23.5</v>
      </c>
      <c r="J442" s="8">
        <f t="shared" si="15"/>
        <v>23.06463722612791</v>
      </c>
      <c r="K442" s="8">
        <v>19.81462016244625</v>
      </c>
    </row>
    <row r="443" spans="1:11">
      <c r="A443" s="8">
        <v>7</v>
      </c>
      <c r="B443" s="8">
        <v>45.272727272727273</v>
      </c>
      <c r="G443" s="8">
        <v>8</v>
      </c>
      <c r="H443" s="8">
        <v>24</v>
      </c>
      <c r="J443" s="8">
        <f t="shared" si="15"/>
        <v>23.06463722612791</v>
      </c>
      <c r="K443" s="8">
        <v>19.81462016244625</v>
      </c>
    </row>
    <row r="444" spans="1:11">
      <c r="A444" s="8">
        <v>8</v>
      </c>
      <c r="B444" s="8">
        <v>45.272727272727273</v>
      </c>
      <c r="G444" s="8">
        <v>9</v>
      </c>
      <c r="H444" s="8">
        <v>23.81</v>
      </c>
      <c r="J444" s="8">
        <f t="shared" si="15"/>
        <v>23.06463722612791</v>
      </c>
      <c r="K444" s="8">
        <v>19.81462016244625</v>
      </c>
    </row>
    <row r="445" spans="1:11">
      <c r="A445" s="8">
        <v>9</v>
      </c>
      <c r="B445" s="8">
        <v>45.272727272727273</v>
      </c>
      <c r="G445" s="8">
        <v>10</v>
      </c>
      <c r="H445" s="8">
        <v>23.88</v>
      </c>
      <c r="J445" s="8">
        <f t="shared" si="15"/>
        <v>23.06463722612791</v>
      </c>
      <c r="K445" s="8">
        <v>19.81462016244625</v>
      </c>
    </row>
    <row r="446" spans="1:11">
      <c r="A446" s="8">
        <v>10</v>
      </c>
      <c r="B446" s="8">
        <v>45.272727272727273</v>
      </c>
      <c r="G446" s="8">
        <v>11</v>
      </c>
      <c r="H446" s="8">
        <v>24.38</v>
      </c>
      <c r="J446" s="8">
        <f t="shared" si="15"/>
        <v>23.06463722612791</v>
      </c>
      <c r="K446" s="8">
        <v>19.81462016244625</v>
      </c>
    </row>
    <row r="447" spans="1:11">
      <c r="A447" s="8">
        <v>11</v>
      </c>
      <c r="B447" s="8">
        <v>45.272727272727273</v>
      </c>
      <c r="G447" s="8">
        <v>12</v>
      </c>
      <c r="H447" s="8">
        <v>23.56</v>
      </c>
      <c r="J447" s="8">
        <f t="shared" si="15"/>
        <v>23.06463722612791</v>
      </c>
      <c r="K447" s="8">
        <v>19.81462016244625</v>
      </c>
    </row>
    <row r="448" spans="1:11">
      <c r="A448" s="8">
        <v>12</v>
      </c>
      <c r="B448" s="8">
        <v>45.272727272727273</v>
      </c>
      <c r="G448" s="8">
        <v>1722</v>
      </c>
      <c r="H448" s="8">
        <v>23.72</v>
      </c>
      <c r="J448" s="8">
        <f t="shared" si="15"/>
        <v>23.06463722612791</v>
      </c>
      <c r="K448" s="8">
        <v>19.81462016244625</v>
      </c>
    </row>
    <row r="449" spans="1:11">
      <c r="A449" s="8">
        <v>1726</v>
      </c>
      <c r="B449" s="8">
        <v>45.272727272727273</v>
      </c>
      <c r="G449" s="8">
        <v>2</v>
      </c>
      <c r="H449" s="8">
        <v>24</v>
      </c>
      <c r="J449" s="8">
        <f t="shared" si="15"/>
        <v>23.06463722612791</v>
      </c>
      <c r="K449" s="8">
        <v>19.81462016244625</v>
      </c>
    </row>
    <row r="450" spans="1:11">
      <c r="A450" s="8">
        <v>2</v>
      </c>
      <c r="B450" s="8">
        <v>45.272727272727273</v>
      </c>
      <c r="G450" s="8">
        <v>3</v>
      </c>
      <c r="H450" s="8">
        <v>23.56</v>
      </c>
      <c r="J450" s="8">
        <f t="shared" si="15"/>
        <v>23.06463722612791</v>
      </c>
      <c r="K450" s="8">
        <v>19.81462016244625</v>
      </c>
    </row>
    <row r="451" spans="1:11">
      <c r="A451" s="8">
        <v>3</v>
      </c>
      <c r="B451" s="8">
        <v>45.272727272727273</v>
      </c>
      <c r="G451" s="8">
        <v>4</v>
      </c>
      <c r="H451" s="8">
        <v>23.12</v>
      </c>
      <c r="J451" s="8">
        <f t="shared" si="15"/>
        <v>23.06463722612791</v>
      </c>
      <c r="K451" s="8">
        <v>19.81462016244625</v>
      </c>
    </row>
    <row r="452" spans="1:11">
      <c r="A452" s="8">
        <v>4</v>
      </c>
      <c r="B452" s="8">
        <v>45.272727272727273</v>
      </c>
      <c r="G452" s="8">
        <v>5</v>
      </c>
      <c r="H452" s="8">
        <v>23.38</v>
      </c>
      <c r="J452" s="8">
        <f t="shared" si="15"/>
        <v>23.06463722612791</v>
      </c>
      <c r="K452" s="8">
        <v>19.81462016244625</v>
      </c>
    </row>
    <row r="453" spans="1:11">
      <c r="A453" s="8">
        <v>5</v>
      </c>
      <c r="B453" s="8">
        <v>45.272727272727273</v>
      </c>
      <c r="G453" s="8">
        <v>6</v>
      </c>
      <c r="H453" s="8">
        <v>23.31</v>
      </c>
      <c r="J453" s="8">
        <f t="shared" si="15"/>
        <v>23.06463722612791</v>
      </c>
      <c r="K453" s="8">
        <v>19.81462016244625</v>
      </c>
    </row>
    <row r="454" spans="1:11">
      <c r="A454" s="8">
        <v>6</v>
      </c>
      <c r="B454" s="8">
        <v>54.327272727272728</v>
      </c>
      <c r="G454" s="8">
        <v>7</v>
      </c>
      <c r="H454" s="8">
        <v>22.69</v>
      </c>
      <c r="J454" s="8">
        <f t="shared" si="15"/>
        <v>23.06463722612791</v>
      </c>
      <c r="K454" s="8">
        <v>19.81462016244625</v>
      </c>
    </row>
    <row r="455" spans="1:11">
      <c r="A455" s="8">
        <v>7</v>
      </c>
      <c r="B455" s="8">
        <v>54.327272727272728</v>
      </c>
      <c r="G455" s="8">
        <v>8</v>
      </c>
      <c r="H455" s="8">
        <v>22.81</v>
      </c>
      <c r="J455" s="8">
        <f t="shared" si="15"/>
        <v>23.06463722612791</v>
      </c>
      <c r="K455" s="8">
        <v>19.81462016244625</v>
      </c>
    </row>
    <row r="456" spans="1:11">
      <c r="A456" s="8">
        <v>8</v>
      </c>
      <c r="B456" s="8">
        <v>54.327272727272728</v>
      </c>
      <c r="G456" s="8">
        <v>9</v>
      </c>
      <c r="H456" s="8">
        <v>22.88</v>
      </c>
      <c r="J456" s="8">
        <f t="shared" si="15"/>
        <v>23.06463722612791</v>
      </c>
      <c r="K456" s="8">
        <v>19.81462016244625</v>
      </c>
    </row>
    <row r="457" spans="1:11">
      <c r="A457" s="8">
        <v>9</v>
      </c>
      <c r="B457" s="8">
        <v>54.327272727272728</v>
      </c>
      <c r="G457" s="8">
        <v>10</v>
      </c>
      <c r="H457" s="8">
        <v>22.81</v>
      </c>
      <c r="J457" s="8">
        <f t="shared" si="15"/>
        <v>23.06463722612791</v>
      </c>
      <c r="K457" s="8">
        <v>19.81462016244625</v>
      </c>
    </row>
    <row r="458" spans="1:11">
      <c r="A458" s="8">
        <v>10</v>
      </c>
      <c r="B458" s="8">
        <v>54.327272727272728</v>
      </c>
      <c r="G458" s="8">
        <v>11</v>
      </c>
      <c r="H458" s="8">
        <v>22.94</v>
      </c>
      <c r="J458" s="8">
        <f t="shared" si="15"/>
        <v>23.06463722612791</v>
      </c>
      <c r="K458" s="8">
        <v>19.81462016244625</v>
      </c>
    </row>
    <row r="459" spans="1:11">
      <c r="A459" s="8">
        <v>11</v>
      </c>
      <c r="B459" s="8">
        <v>54.327272727272728</v>
      </c>
      <c r="G459" s="8">
        <v>12</v>
      </c>
      <c r="H459" s="8">
        <v>21.5</v>
      </c>
      <c r="J459" s="8">
        <f t="shared" si="15"/>
        <v>23.06463722612791</v>
      </c>
      <c r="K459" s="8">
        <v>19.81462016244625</v>
      </c>
    </row>
    <row r="460" spans="1:11">
      <c r="A460" s="8">
        <v>12</v>
      </c>
      <c r="B460" s="8">
        <v>54.327272727272728</v>
      </c>
      <c r="G460" s="8">
        <v>1723</v>
      </c>
      <c r="H460" s="8">
        <v>22.62</v>
      </c>
      <c r="J460" s="8">
        <f t="shared" si="15"/>
        <v>23.06463722612791</v>
      </c>
      <c r="K460" s="8">
        <v>19.81462016244625</v>
      </c>
    </row>
    <row r="461" spans="1:11">
      <c r="G461" s="8">
        <v>2</v>
      </c>
      <c r="H461" s="8">
        <v>23</v>
      </c>
      <c r="J461" s="8">
        <f t="shared" si="15"/>
        <v>23.06463722612791</v>
      </c>
      <c r="K461" s="8">
        <v>19.81462016244625</v>
      </c>
    </row>
    <row r="462" spans="1:11">
      <c r="G462" s="8">
        <v>3</v>
      </c>
      <c r="H462" s="8">
        <v>22.94</v>
      </c>
      <c r="J462" s="8">
        <f t="shared" si="15"/>
        <v>23.06463722612791</v>
      </c>
      <c r="K462" s="8">
        <v>19.81462016244625</v>
      </c>
    </row>
    <row r="463" spans="1:11">
      <c r="G463" s="8">
        <v>4</v>
      </c>
      <c r="H463" s="8">
        <v>22.56</v>
      </c>
      <c r="J463" s="8">
        <f t="shared" si="15"/>
        <v>23.06463722612791</v>
      </c>
      <c r="K463" s="8">
        <v>19.81462016244625</v>
      </c>
    </row>
    <row r="464" spans="1:11">
      <c r="G464" s="8">
        <v>5</v>
      </c>
      <c r="H464" s="8">
        <v>22.46</v>
      </c>
      <c r="J464" s="8">
        <f t="shared" si="15"/>
        <v>23.06463722612791</v>
      </c>
      <c r="K464" s="8">
        <v>19.81462016244625</v>
      </c>
    </row>
    <row r="465" spans="7:11">
      <c r="G465" s="8">
        <v>6</v>
      </c>
      <c r="H465" s="8">
        <v>22.62</v>
      </c>
      <c r="J465" s="8">
        <f t="shared" si="15"/>
        <v>23.06463722612791</v>
      </c>
      <c r="K465" s="8">
        <v>19.81462016244625</v>
      </c>
    </row>
    <row r="466" spans="7:11">
      <c r="G466" s="8">
        <v>7</v>
      </c>
      <c r="H466" s="8">
        <v>22.12</v>
      </c>
      <c r="J466" s="8">
        <f t="shared" si="15"/>
        <v>23.06463722612791</v>
      </c>
      <c r="K466" s="8">
        <v>19.81462016244625</v>
      </c>
    </row>
    <row r="467" spans="7:11">
      <c r="G467" s="8">
        <v>8</v>
      </c>
      <c r="H467" s="8">
        <v>23</v>
      </c>
      <c r="J467" s="8">
        <f t="shared" si="15"/>
        <v>21.059016597768967</v>
      </c>
      <c r="K467" s="8">
        <f>4608/2093*720/(74.15+(7+7/11)/240)</f>
        <v>21.368708018324384</v>
      </c>
    </row>
    <row r="468" spans="7:11">
      <c r="G468" s="8">
        <v>9</v>
      </c>
      <c r="H468" s="8">
        <v>22.44</v>
      </c>
      <c r="J468" s="8">
        <f t="shared" si="15"/>
        <v>21.059016597768967</v>
      </c>
      <c r="K468" s="8">
        <v>21.368708018324384</v>
      </c>
    </row>
    <row r="469" spans="7:11">
      <c r="G469" s="8">
        <v>10</v>
      </c>
      <c r="H469" s="8">
        <v>22</v>
      </c>
      <c r="J469" s="8">
        <f t="shared" si="15"/>
        <v>21.059016597768967</v>
      </c>
      <c r="K469" s="8">
        <v>21.368708018324384</v>
      </c>
    </row>
    <row r="470" spans="7:11">
      <c r="G470" s="8">
        <v>11</v>
      </c>
      <c r="H470" s="8">
        <v>22.44</v>
      </c>
      <c r="J470" s="8">
        <f t="shared" si="15"/>
        <v>21.059016597768967</v>
      </c>
      <c r="K470" s="8">
        <v>21.368708018324384</v>
      </c>
    </row>
    <row r="471" spans="7:11">
      <c r="G471" s="8">
        <v>12</v>
      </c>
      <c r="H471" s="8">
        <v>22.25</v>
      </c>
      <c r="J471" s="8">
        <f t="shared" si="15"/>
        <v>21.059016597768967</v>
      </c>
      <c r="K471" s="8">
        <v>21.368708018324384</v>
      </c>
    </row>
    <row r="472" spans="7:11">
      <c r="G472" s="8">
        <v>1724</v>
      </c>
      <c r="H472" s="8">
        <v>22.44</v>
      </c>
      <c r="J472" s="8">
        <f t="shared" si="15"/>
        <v>21.059016597768967</v>
      </c>
      <c r="K472" s="8">
        <v>21.368708018324384</v>
      </c>
    </row>
    <row r="473" spans="7:11">
      <c r="G473" s="8">
        <v>2</v>
      </c>
      <c r="H473" s="8">
        <v>25.5</v>
      </c>
      <c r="J473" s="8">
        <f t="shared" si="15"/>
        <v>23.627189353594446</v>
      </c>
      <c r="K473" s="8">
        <f>4608/2093*720/66</f>
        <v>24.017721409025757</v>
      </c>
    </row>
    <row r="474" spans="7:11">
      <c r="G474" s="8">
        <v>3</v>
      </c>
      <c r="H474" s="8">
        <v>25.38</v>
      </c>
      <c r="J474" s="8">
        <f t="shared" si="15"/>
        <v>23.627189353594446</v>
      </c>
      <c r="K474" s="8">
        <f>4608/2093*720/66</f>
        <v>24.017721409025757</v>
      </c>
    </row>
    <row r="475" spans="7:11">
      <c r="G475" s="8">
        <v>4</v>
      </c>
      <c r="H475" s="8">
        <v>30</v>
      </c>
      <c r="J475" s="8">
        <f t="shared" si="15"/>
        <v>29.061442904921169</v>
      </c>
      <c r="K475" s="8">
        <f>4608/2093*720/(53.45+(1+1/11)/240)</f>
        <v>29.654533576450167</v>
      </c>
    </row>
    <row r="476" spans="7:11">
      <c r="G476" s="8">
        <v>5</v>
      </c>
      <c r="H476" s="8">
        <v>30.06</v>
      </c>
      <c r="J476" s="8">
        <f t="shared" si="15"/>
        <v>29.061442904921169</v>
      </c>
      <c r="K476" s="8">
        <v>29.654533576450167</v>
      </c>
    </row>
    <row r="477" spans="7:11">
      <c r="G477" s="8">
        <v>6</v>
      </c>
      <c r="H477" s="8">
        <v>30.06</v>
      </c>
      <c r="J477" s="8">
        <f t="shared" si="15"/>
        <v>29.061442904921169</v>
      </c>
      <c r="K477" s="8">
        <v>29.654533576450167</v>
      </c>
    </row>
    <row r="478" spans="7:11">
      <c r="G478" s="8">
        <v>7</v>
      </c>
      <c r="H478" s="8">
        <v>30.5</v>
      </c>
      <c r="J478" s="8">
        <f t="shared" si="15"/>
        <v>29.061442904921169</v>
      </c>
      <c r="K478" s="8">
        <v>29.654533576450167</v>
      </c>
    </row>
    <row r="479" spans="7:11">
      <c r="G479" s="8">
        <v>8</v>
      </c>
      <c r="H479" s="8">
        <v>30.19</v>
      </c>
      <c r="J479" s="8">
        <f t="shared" si="15"/>
        <v>29.061442904921169</v>
      </c>
      <c r="K479" s="8">
        <v>29.654533576450167</v>
      </c>
    </row>
    <row r="480" spans="7:11">
      <c r="G480" s="8">
        <v>9</v>
      </c>
      <c r="H480" s="8">
        <v>30</v>
      </c>
      <c r="J480" s="8">
        <f t="shared" si="15"/>
        <v>36.326803631151463</v>
      </c>
      <c r="K480" s="8">
        <f>4608/2093*720/42.7636</f>
        <v>37.068198491139661</v>
      </c>
    </row>
    <row r="481" spans="7:11">
      <c r="G481" s="8">
        <v>10</v>
      </c>
      <c r="H481" s="8">
        <v>37.25</v>
      </c>
      <c r="J481" s="8">
        <f t="shared" si="15"/>
        <v>35.013786632435142</v>
      </c>
      <c r="K481" s="8">
        <v>37.068198491139661</v>
      </c>
    </row>
    <row r="482" spans="7:11">
      <c r="G482" s="8">
        <v>11</v>
      </c>
      <c r="H482" s="8">
        <v>36.619999999999997</v>
      </c>
      <c r="J482" s="8">
        <f t="shared" si="15"/>
        <v>35.013786632435142</v>
      </c>
      <c r="K482" s="8">
        <v>37.068198491139661</v>
      </c>
    </row>
    <row r="483" spans="7:11">
      <c r="G483" s="8">
        <v>12</v>
      </c>
      <c r="H483" s="8">
        <v>36.619999999999997</v>
      </c>
      <c r="J483" s="8">
        <f t="shared" si="15"/>
        <v>35.013786632435142</v>
      </c>
      <c r="K483" s="8">
        <v>37.068198491139661</v>
      </c>
    </row>
    <row r="484" spans="7:11">
      <c r="G484" s="8">
        <v>1725</v>
      </c>
      <c r="H484" s="8">
        <v>36.44</v>
      </c>
      <c r="J484" s="8">
        <f t="shared" si="15"/>
        <v>35.013786632435142</v>
      </c>
      <c r="K484" s="8">
        <v>37.068198491139661</v>
      </c>
    </row>
    <row r="485" spans="7:11">
      <c r="G485" s="8">
        <v>2</v>
      </c>
      <c r="H485" s="8">
        <v>36.880000000000003</v>
      </c>
      <c r="J485" s="8">
        <f t="shared" si="15"/>
        <v>35.013786632435142</v>
      </c>
      <c r="K485" s="8">
        <v>37.068198491139661</v>
      </c>
    </row>
    <row r="486" spans="7:11">
      <c r="G486" s="8">
        <v>3</v>
      </c>
      <c r="H486" s="8">
        <v>37.5</v>
      </c>
      <c r="J486" s="8">
        <f t="shared" si="15"/>
        <v>35.013786632435142</v>
      </c>
      <c r="K486" s="8">
        <v>37.068198491139661</v>
      </c>
    </row>
    <row r="487" spans="7:11">
      <c r="G487" s="8">
        <v>4</v>
      </c>
      <c r="H487" s="8">
        <v>38.31</v>
      </c>
      <c r="J487" s="8">
        <f t="shared" si="15"/>
        <v>35.013786632435142</v>
      </c>
      <c r="K487" s="8">
        <v>37.068198491139661</v>
      </c>
    </row>
    <row r="488" spans="7:11">
      <c r="G488" s="8">
        <v>5</v>
      </c>
      <c r="H488" s="8">
        <v>38.380000000000003</v>
      </c>
      <c r="J488" s="8">
        <f t="shared" si="15"/>
        <v>35.013786632435142</v>
      </c>
      <c r="K488" s="8">
        <v>37.068198491139661</v>
      </c>
    </row>
    <row r="489" spans="7:11">
      <c r="G489" s="8">
        <v>6</v>
      </c>
      <c r="H489" s="8">
        <v>38.81</v>
      </c>
      <c r="J489" s="8">
        <f t="shared" si="15"/>
        <v>35.013786632435142</v>
      </c>
      <c r="K489" s="8">
        <v>37.068198491139661</v>
      </c>
    </row>
    <row r="490" spans="7:11">
      <c r="G490" s="8">
        <v>7</v>
      </c>
      <c r="H490" s="8">
        <v>38.75</v>
      </c>
      <c r="J490" s="8">
        <f t="shared" si="15"/>
        <v>35.013786632435142</v>
      </c>
      <c r="K490" s="8">
        <v>37.068198491139661</v>
      </c>
    </row>
    <row r="491" spans="7:11">
      <c r="G491" s="8">
        <v>8</v>
      </c>
      <c r="H491" s="8">
        <v>38.56</v>
      </c>
      <c r="J491" s="8">
        <f t="shared" si="15"/>
        <v>35.013786632435142</v>
      </c>
      <c r="K491" s="8">
        <v>37.068198491139661</v>
      </c>
    </row>
    <row r="492" spans="7:11">
      <c r="G492" s="8">
        <v>9</v>
      </c>
      <c r="H492" s="8">
        <v>38.119999999999997</v>
      </c>
      <c r="J492" s="8">
        <f t="shared" si="15"/>
        <v>35.013786632435142</v>
      </c>
      <c r="K492" s="8">
        <v>37.068198491139661</v>
      </c>
    </row>
    <row r="493" spans="7:11">
      <c r="G493" s="8">
        <v>10</v>
      </c>
      <c r="H493" s="8">
        <v>38.25</v>
      </c>
      <c r="J493" s="8">
        <f t="shared" si="15"/>
        <v>35.013786632435142</v>
      </c>
      <c r="K493" s="8">
        <v>37.068198491139661</v>
      </c>
    </row>
    <row r="494" spans="7:11">
      <c r="G494" s="8">
        <v>11</v>
      </c>
      <c r="H494" s="8">
        <v>38.380000000000003</v>
      </c>
      <c r="J494" s="8">
        <f t="shared" si="15"/>
        <v>35.013786632435142</v>
      </c>
      <c r="K494" s="8">
        <v>37.068198491139661</v>
      </c>
    </row>
    <row r="495" spans="7:11">
      <c r="G495" s="8">
        <v>12</v>
      </c>
      <c r="H495" s="8">
        <v>37.81</v>
      </c>
      <c r="J495" s="8">
        <f t="shared" si="15"/>
        <v>35.013786632435142</v>
      </c>
      <c r="K495" s="8">
        <v>37.068198491139661</v>
      </c>
    </row>
    <row r="496" spans="7:11">
      <c r="G496" s="8">
        <v>1726</v>
      </c>
      <c r="H496" s="8">
        <v>41.5</v>
      </c>
      <c r="J496" s="8">
        <f t="shared" si="15"/>
        <v>35.013786632435142</v>
      </c>
      <c r="K496" s="8">
        <f>4608/2093*720/(37.05+(9+9/11)/240)</f>
        <v>42.737416036648781</v>
      </c>
    </row>
    <row r="497" spans="7:11">
      <c r="G497" s="8">
        <v>2</v>
      </c>
      <c r="H497" s="8">
        <v>40.5</v>
      </c>
      <c r="J497" s="8">
        <f t="shared" si="15"/>
        <v>35.013786632435142</v>
      </c>
      <c r="K497" s="8">
        <v>42.737416036648774</v>
      </c>
    </row>
    <row r="498" spans="7:11">
      <c r="G498" s="8">
        <v>3</v>
      </c>
      <c r="H498" s="8">
        <v>40</v>
      </c>
      <c r="J498" s="8">
        <f t="shared" si="15"/>
        <v>35.013786632435142</v>
      </c>
      <c r="K498" s="8">
        <v>42.737416036648774</v>
      </c>
    </row>
    <row r="499" spans="7:11">
      <c r="G499" s="8">
        <v>4</v>
      </c>
      <c r="H499" s="8">
        <v>41.88</v>
      </c>
      <c r="J499" s="8">
        <f t="shared" si="15"/>
        <v>35.013786632435142</v>
      </c>
      <c r="K499" s="8">
        <v>42.737416036648774</v>
      </c>
    </row>
    <row r="500" spans="7:11">
      <c r="G500" s="8">
        <v>5</v>
      </c>
      <c r="H500" s="8">
        <v>41.38</v>
      </c>
      <c r="J500" s="8">
        <f t="shared" ref="J500:J507" si="16">4608/2093*240*3/B453</f>
        <v>35.013786632435142</v>
      </c>
      <c r="K500" s="8">
        <v>42.737416036648774</v>
      </c>
    </row>
    <row r="501" spans="7:11">
      <c r="G501" s="8">
        <v>6</v>
      </c>
      <c r="H501" s="8">
        <v>32.25</v>
      </c>
      <c r="J501" s="8">
        <f t="shared" si="16"/>
        <v>29.178155527029286</v>
      </c>
      <c r="K501" s="8">
        <f>4608/2093*720/(51.15+(3+3/11)/240)</f>
        <v>30.98234851270913</v>
      </c>
    </row>
    <row r="502" spans="7:11">
      <c r="G502" s="8">
        <v>7</v>
      </c>
      <c r="H502" s="8">
        <v>32.75</v>
      </c>
      <c r="J502" s="8">
        <f t="shared" si="16"/>
        <v>29.178155527029286</v>
      </c>
      <c r="K502" s="8">
        <v>30.982348512709134</v>
      </c>
    </row>
    <row r="503" spans="7:11">
      <c r="G503" s="8">
        <v>8</v>
      </c>
      <c r="H503" s="8">
        <v>32.69</v>
      </c>
      <c r="J503" s="8">
        <f t="shared" si="16"/>
        <v>29.178155527029286</v>
      </c>
      <c r="K503" s="8">
        <v>30.982348512709134</v>
      </c>
    </row>
    <row r="504" spans="7:11">
      <c r="G504" s="8">
        <v>9</v>
      </c>
      <c r="H504" s="8">
        <v>32.619999999999997</v>
      </c>
      <c r="J504" s="8">
        <f t="shared" si="16"/>
        <v>29.178155527029286</v>
      </c>
      <c r="K504" s="8">
        <v>30.982348512709134</v>
      </c>
    </row>
    <row r="505" spans="7:11">
      <c r="G505" s="8">
        <v>10</v>
      </c>
      <c r="H505" s="8">
        <v>32.75</v>
      </c>
      <c r="J505" s="8">
        <f t="shared" si="16"/>
        <v>29.178155527029286</v>
      </c>
      <c r="K505" s="8">
        <v>30.982348512709134</v>
      </c>
    </row>
    <row r="506" spans="7:11">
      <c r="G506" s="8">
        <v>11</v>
      </c>
      <c r="H506" s="8">
        <v>32.5</v>
      </c>
      <c r="J506" s="8">
        <f t="shared" si="16"/>
        <v>29.178155527029286</v>
      </c>
      <c r="K506" s="8">
        <v>30.982348512709134</v>
      </c>
    </row>
    <row r="507" spans="7:11">
      <c r="G507" s="8">
        <v>12</v>
      </c>
      <c r="H507" s="8">
        <v>32.56</v>
      </c>
      <c r="J507" s="8">
        <f t="shared" si="16"/>
        <v>29.178155527029286</v>
      </c>
      <c r="K507" s="8">
        <v>30.982348512709134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L336"/>
  <sheetViews>
    <sheetView workbookViewId="0"/>
  </sheetViews>
  <sheetFormatPr defaultRowHeight="12.75"/>
  <cols>
    <col min="1" max="116" width="9.140625" style="8"/>
    <col min="117" max="16384" width="9.140625" style="7"/>
  </cols>
  <sheetData>
    <row r="1" spans="3:116">
      <c r="L1" s="8" t="s">
        <v>307</v>
      </c>
      <c r="P1" s="8">
        <v>1</v>
      </c>
      <c r="Q1" s="8">
        <v>0.84489999999999998</v>
      </c>
      <c r="R1" s="8">
        <v>0.79479999999999995</v>
      </c>
      <c r="S1" s="8">
        <v>0.76749999999999996</v>
      </c>
      <c r="T1" s="8">
        <v>0.75009999999999999</v>
      </c>
      <c r="U1" s="8">
        <v>0.7379</v>
      </c>
      <c r="V1" s="8">
        <v>0.72609999999999997</v>
      </c>
      <c r="W1" s="8">
        <v>0.71699999999999997</v>
      </c>
      <c r="X1" s="8">
        <v>0.70960000000000001</v>
      </c>
      <c r="Y1" s="8">
        <v>0.70350000000000001</v>
      </c>
      <c r="Z1" s="8">
        <v>0.69820000000000004</v>
      </c>
      <c r="AA1" s="8">
        <v>0.69410000000000005</v>
      </c>
      <c r="AB1" s="8">
        <v>0.69020000000000004</v>
      </c>
      <c r="AC1" s="8">
        <v>0.68640000000000001</v>
      </c>
      <c r="AD1" s="8">
        <v>0.6825</v>
      </c>
      <c r="AE1" s="8">
        <v>0.67830000000000001</v>
      </c>
      <c r="AF1" s="8">
        <v>0.6734</v>
      </c>
      <c r="AG1" s="8">
        <v>0.66820000000000002</v>
      </c>
      <c r="AH1" s="8">
        <v>0.66279999999999994</v>
      </c>
      <c r="AI1" s="8">
        <v>0.65710000000000002</v>
      </c>
      <c r="AJ1" s="8">
        <v>0.65110000000000001</v>
      </c>
      <c r="AK1" s="8">
        <v>0.64500000000000002</v>
      </c>
      <c r="AL1" s="8">
        <v>0.63870000000000005</v>
      </c>
      <c r="AM1" s="8">
        <v>0.63229999999999997</v>
      </c>
      <c r="AN1" s="8">
        <v>0.62580000000000002</v>
      </c>
      <c r="AO1" s="8">
        <v>0.61929999999999996</v>
      </c>
      <c r="AP1" s="8">
        <v>0.6129</v>
      </c>
      <c r="AQ1" s="8">
        <v>0.60650000000000004</v>
      </c>
      <c r="AR1" s="8">
        <v>0.60019999999999996</v>
      </c>
      <c r="AS1" s="8">
        <v>0.59389999999999998</v>
      </c>
      <c r="AT1" s="8">
        <v>0.58779999999999999</v>
      </c>
      <c r="AU1" s="8">
        <v>0.58179999999999998</v>
      </c>
      <c r="AV1" s="8">
        <v>0.57599999999999996</v>
      </c>
      <c r="AW1" s="8">
        <v>0.57020000000000004</v>
      </c>
      <c r="AX1" s="8">
        <v>0.5645</v>
      </c>
      <c r="AY1" s="8">
        <v>0.55879999999999996</v>
      </c>
      <c r="AZ1" s="8">
        <v>0.55330000000000001</v>
      </c>
      <c r="BA1" s="8">
        <v>0.54769999999999996</v>
      </c>
      <c r="BB1" s="8">
        <v>0.54220000000000002</v>
      </c>
      <c r="BC1" s="8">
        <v>0.53669999999999995</v>
      </c>
      <c r="BD1" s="8">
        <v>0.53120000000000001</v>
      </c>
      <c r="BE1" s="8">
        <v>0.52559999999999996</v>
      </c>
      <c r="BF1" s="8">
        <v>0.52</v>
      </c>
      <c r="BG1" s="8">
        <v>0.51429999999999998</v>
      </c>
      <c r="BH1" s="8">
        <v>0.50839999999999996</v>
      </c>
      <c r="BI1" s="8">
        <v>0.50249999999999995</v>
      </c>
      <c r="BJ1" s="8">
        <v>0.49640000000000001</v>
      </c>
      <c r="BK1" s="8">
        <v>0.49009999999999998</v>
      </c>
      <c r="BL1" s="8">
        <v>0.48359999999999997</v>
      </c>
      <c r="BM1" s="8">
        <v>0.47689999999999999</v>
      </c>
      <c r="BN1" s="8">
        <v>0.47</v>
      </c>
      <c r="BO1" s="8">
        <v>0.46279999999999999</v>
      </c>
      <c r="BP1" s="8">
        <v>0.45529999999999998</v>
      </c>
      <c r="BQ1" s="8">
        <v>0.44750000000000001</v>
      </c>
      <c r="BR1" s="8">
        <v>0.43940000000000001</v>
      </c>
      <c r="BS1" s="8">
        <v>0.43090000000000001</v>
      </c>
      <c r="BT1" s="8">
        <v>0.42209999999999998</v>
      </c>
      <c r="BU1" s="8">
        <v>0.41289999999999999</v>
      </c>
      <c r="BV1" s="8">
        <v>0.40329999999999999</v>
      </c>
      <c r="BW1" s="8">
        <v>0.39329999999999998</v>
      </c>
      <c r="BX1" s="8">
        <v>0.38279999999999997</v>
      </c>
      <c r="BY1" s="8">
        <v>0.37190000000000001</v>
      </c>
      <c r="BZ1" s="8">
        <v>0.36059999999999998</v>
      </c>
      <c r="CA1" s="8">
        <v>0.3488</v>
      </c>
      <c r="CB1" s="8">
        <v>0.33650000000000002</v>
      </c>
      <c r="CC1" s="8">
        <v>0.32379999999999998</v>
      </c>
      <c r="CD1" s="8">
        <v>0.31069999999999998</v>
      </c>
      <c r="CE1" s="8">
        <v>0.29709999999999998</v>
      </c>
      <c r="CF1" s="8">
        <v>0.28310000000000002</v>
      </c>
      <c r="CG1" s="8">
        <v>0.26869999999999999</v>
      </c>
      <c r="CH1" s="8">
        <v>0.254</v>
      </c>
      <c r="CI1" s="8">
        <v>0.23899999999999999</v>
      </c>
      <c r="CJ1" s="8">
        <v>0.22370000000000001</v>
      </c>
      <c r="CK1" s="8">
        <v>0.20830000000000001</v>
      </c>
      <c r="CL1" s="8">
        <v>0.1928</v>
      </c>
      <c r="CM1" s="8">
        <v>0.1772</v>
      </c>
      <c r="CN1" s="8">
        <v>0.1618</v>
      </c>
      <c r="CO1" s="8">
        <v>0.14649999999999999</v>
      </c>
      <c r="CP1" s="8">
        <v>0.13150000000000001</v>
      </c>
      <c r="CQ1" s="8">
        <v>0.11700000000000001</v>
      </c>
      <c r="CR1" s="8">
        <v>0.10299999999999999</v>
      </c>
      <c r="CS1" s="8">
        <v>8.9599999999999999E-2</v>
      </c>
      <c r="CT1" s="8">
        <v>7.6999999999999999E-2</v>
      </c>
      <c r="CU1" s="8">
        <v>6.5299999999999997E-2</v>
      </c>
      <c r="CV1" s="8">
        <v>5.4600000000000003E-2</v>
      </c>
      <c r="CW1" s="8">
        <v>4.4900000000000002E-2</v>
      </c>
      <c r="CX1" s="8">
        <v>3.6299999999999999E-2</v>
      </c>
      <c r="CY1" s="8">
        <v>2.8799999999999999E-2</v>
      </c>
      <c r="CZ1" s="8">
        <v>2.23E-2</v>
      </c>
      <c r="DA1" s="8">
        <v>1.6899999999999998E-2</v>
      </c>
      <c r="DB1" s="8">
        <v>1.2500000000000001E-2</v>
      </c>
      <c r="DC1" s="8">
        <v>8.9999999999999993E-3</v>
      </c>
      <c r="DD1" s="8">
        <v>6.3E-3</v>
      </c>
      <c r="DE1" s="8">
        <v>4.1000000000000003E-3</v>
      </c>
      <c r="DF1" s="8">
        <v>2.5999999999999999E-3</v>
      </c>
      <c r="DG1" s="8">
        <v>1.1999999999999999E-3</v>
      </c>
      <c r="DH1" s="8">
        <v>5.0000000000000001E-4</v>
      </c>
      <c r="DI1" s="8">
        <v>2.9999999999999997E-4</v>
      </c>
      <c r="DJ1" s="8">
        <v>1E-4</v>
      </c>
      <c r="DK1" s="8">
        <v>0</v>
      </c>
    </row>
    <row r="2" spans="3:116">
      <c r="L2" s="8" t="s">
        <v>310</v>
      </c>
      <c r="P2" s="8">
        <v>102947495.91339652</v>
      </c>
      <c r="Q2" s="8">
        <v>100616053.25596224</v>
      </c>
      <c r="R2" s="8">
        <v>98623761.148514062</v>
      </c>
      <c r="S2" s="8">
        <v>96793765.443192303</v>
      </c>
      <c r="T2" s="8">
        <v>95066512.009290889</v>
      </c>
      <c r="U2" s="8">
        <v>93368917.378536895</v>
      </c>
      <c r="V2" s="8">
        <v>91715777.993093163</v>
      </c>
      <c r="W2" s="8">
        <v>90085350.114288032</v>
      </c>
      <c r="X2" s="8">
        <v>88469213.093083739</v>
      </c>
      <c r="Y2" s="8">
        <v>86857720.050149739</v>
      </c>
      <c r="Z2" s="8">
        <v>85255002.263046652</v>
      </c>
      <c r="AA2" s="8">
        <v>83650269.543905705</v>
      </c>
      <c r="AB2" s="8">
        <v>82047128.316705018</v>
      </c>
      <c r="AC2" s="8">
        <v>80444742.824433833</v>
      </c>
      <c r="AD2" s="8">
        <v>78844471.744110093</v>
      </c>
      <c r="AE2" s="8">
        <v>77244378.698130846</v>
      </c>
      <c r="AF2" s="8">
        <v>75653272.413047001</v>
      </c>
      <c r="AG2" s="8">
        <v>74073403.093196586</v>
      </c>
      <c r="AH2" s="8">
        <v>72507448.648323879</v>
      </c>
      <c r="AI2" s="8">
        <v>70959595.167972311</v>
      </c>
      <c r="AJ2" s="8">
        <v>69431583.845909745</v>
      </c>
      <c r="AK2" s="8">
        <v>67925736.137828425</v>
      </c>
      <c r="AL2" s="8">
        <v>66443404.710159376</v>
      </c>
      <c r="AM2" s="8">
        <v>64986828.426880993</v>
      </c>
      <c r="AN2" s="8">
        <v>63556865.50957185</v>
      </c>
      <c r="AO2" s="8">
        <v>62156653.530904233</v>
      </c>
      <c r="AP2" s="8">
        <v>60782589.586495392</v>
      </c>
      <c r="AQ2" s="8">
        <v>59436215.356664203</v>
      </c>
      <c r="AR2" s="8">
        <v>58114495.84073481</v>
      </c>
      <c r="AS2" s="8">
        <v>56821122.576578237</v>
      </c>
      <c r="AT2" s="8">
        <v>55552306.78340891</v>
      </c>
      <c r="AU2" s="8">
        <v>54324083.822595589</v>
      </c>
      <c r="AV2" s="8">
        <v>53102668.945442662</v>
      </c>
      <c r="AW2" s="8">
        <v>51904039.887941442</v>
      </c>
      <c r="AX2" s="8">
        <v>50723753.876971662</v>
      </c>
      <c r="AY2" s="8">
        <v>49563138.276320986</v>
      </c>
      <c r="AZ2" s="8">
        <v>48418665.240791924</v>
      </c>
      <c r="BA2" s="8">
        <v>47289312.512725748</v>
      </c>
      <c r="BB2" s="8">
        <v>46188521.933363244</v>
      </c>
      <c r="BC2" s="8">
        <v>45050437.55782643</v>
      </c>
      <c r="BD2" s="8">
        <v>43955464.947786994</v>
      </c>
      <c r="BE2" s="8">
        <v>42869440.553968266</v>
      </c>
      <c r="BF2" s="8">
        <v>41789588.350673191</v>
      </c>
      <c r="BG2" s="8">
        <v>40714674.491071828</v>
      </c>
      <c r="BH2" s="8">
        <v>39644807.974201508</v>
      </c>
      <c r="BI2" s="8">
        <v>38576602.318629988</v>
      </c>
      <c r="BJ2" s="8">
        <v>37509027.345143676</v>
      </c>
      <c r="BK2" s="8">
        <v>36441078.117071427</v>
      </c>
      <c r="BL2" s="8">
        <v>35371138.928424016</v>
      </c>
      <c r="BM2" s="8">
        <v>34299163.381878391</v>
      </c>
      <c r="BN2" s="8">
        <v>33222028.332938034</v>
      </c>
      <c r="BO2" s="8">
        <v>32139509.194189042</v>
      </c>
      <c r="BP2" s="8">
        <v>31050601.161621496</v>
      </c>
      <c r="BQ2" s="8">
        <v>29955258.410220373</v>
      </c>
      <c r="BR2" s="8">
        <v>28852191.976581592</v>
      </c>
      <c r="BS2" s="8">
        <v>27740750.042548079</v>
      </c>
      <c r="BT2" s="8">
        <v>26621954.96261254</v>
      </c>
      <c r="BU2" s="8">
        <v>25494638.793984361</v>
      </c>
      <c r="BV2" s="8">
        <v>24358859.780801956</v>
      </c>
      <c r="BW2" s="8">
        <v>23195769.500170048</v>
      </c>
      <c r="BX2" s="8">
        <v>22047728.541219387</v>
      </c>
      <c r="BY2" s="8">
        <v>20895294.615934625</v>
      </c>
      <c r="BZ2" s="8">
        <v>19738574.013499178</v>
      </c>
      <c r="CA2" s="8">
        <v>18580026.142264083</v>
      </c>
      <c r="CB2" s="8">
        <v>17424479.1965435</v>
      </c>
      <c r="CC2" s="8">
        <v>16273133.644333681</v>
      </c>
      <c r="CD2" s="8">
        <v>15130172.312765179</v>
      </c>
      <c r="CE2" s="8">
        <v>13999439.50458256</v>
      </c>
      <c r="CF2" s="8">
        <v>12884113.487946728</v>
      </c>
      <c r="CG2" s="8">
        <v>11791157.015000954</v>
      </c>
      <c r="CH2" s="8">
        <v>10724146.627268663</v>
      </c>
      <c r="CI2" s="8">
        <v>9688730.8415691312</v>
      </c>
      <c r="CJ2" s="8">
        <v>8691070.1754162628</v>
      </c>
      <c r="CK2" s="8">
        <v>7734882.4645139575</v>
      </c>
      <c r="CL2" s="8">
        <v>6826203.378553059</v>
      </c>
      <c r="CM2" s="8">
        <v>5970005.4219576782</v>
      </c>
      <c r="CN2" s="8">
        <v>5169815.480407292</v>
      </c>
      <c r="CO2" s="8">
        <v>4432181.4895480387</v>
      </c>
      <c r="CP2" s="8">
        <v>3756648.8398780958</v>
      </c>
      <c r="CQ2" s="8">
        <v>3146649.6215767395</v>
      </c>
      <c r="CR2" s="8">
        <v>2602320.5511918394</v>
      </c>
      <c r="CS2" s="8">
        <v>2121487.5524350815</v>
      </c>
      <c r="CT2" s="8">
        <v>1704702.1197483835</v>
      </c>
      <c r="CU2" s="8">
        <v>1347588.7328063061</v>
      </c>
      <c r="CV2" s="8">
        <v>1046989.9519685808</v>
      </c>
      <c r="CW2" s="8">
        <v>798392.53782800643</v>
      </c>
      <c r="CX2" s="8">
        <v>593871.46498773806</v>
      </c>
      <c r="CY2" s="8">
        <v>432419.57823979785</v>
      </c>
      <c r="CZ2" s="8">
        <v>304096.8774226656</v>
      </c>
      <c r="DA2" s="8">
        <v>209201.91024529785</v>
      </c>
      <c r="DB2" s="8">
        <v>139897.11527638175</v>
      </c>
      <c r="DC2" s="8">
        <v>91106.649872554437</v>
      </c>
      <c r="DD2" s="8">
        <v>57005.612986752669</v>
      </c>
      <c r="DE2" s="8">
        <v>33731.898470622175</v>
      </c>
      <c r="DF2" s="8">
        <v>15125.045694728431</v>
      </c>
      <c r="DG2" s="8">
        <v>6520.5795494844961</v>
      </c>
      <c r="DH2" s="8">
        <v>3416.1733037865979</v>
      </c>
      <c r="DI2" s="8">
        <v>1141.9762476134827</v>
      </c>
      <c r="DJ2" s="8">
        <v>23.218900000000001</v>
      </c>
      <c r="DK2" s="8">
        <v>3.4106000000000001</v>
      </c>
      <c r="DL2" s="8">
        <v>0</v>
      </c>
    </row>
    <row r="3" spans="3:116">
      <c r="E3" s="8" t="s">
        <v>309</v>
      </c>
      <c r="L3" s="8" t="s">
        <v>308</v>
      </c>
      <c r="M3" s="8" t="s">
        <v>307</v>
      </c>
    </row>
    <row r="4" spans="3:116">
      <c r="C4" s="8" t="s">
        <v>306</v>
      </c>
      <c r="D4" s="8" t="s">
        <v>305</v>
      </c>
      <c r="E4" s="8" t="s">
        <v>109</v>
      </c>
      <c r="F4" s="8" t="s">
        <v>304</v>
      </c>
      <c r="G4" s="8" t="s">
        <v>303</v>
      </c>
      <c r="H4" s="8" t="s">
        <v>302</v>
      </c>
      <c r="J4" s="8" t="s">
        <v>301</v>
      </c>
      <c r="K4" s="8" t="s">
        <v>301</v>
      </c>
      <c r="P4" s="8">
        <v>1787</v>
      </c>
      <c r="Q4" s="8">
        <v>1788</v>
      </c>
      <c r="R4" s="8">
        <v>1789</v>
      </c>
      <c r="S4" s="8">
        <v>1790</v>
      </c>
      <c r="T4" s="8">
        <v>1791</v>
      </c>
      <c r="U4" s="8">
        <v>1792</v>
      </c>
      <c r="V4" s="8">
        <v>1793</v>
      </c>
      <c r="W4" s="8">
        <v>1794</v>
      </c>
      <c r="X4" s="8">
        <v>1795</v>
      </c>
      <c r="Y4" s="8">
        <v>1796</v>
      </c>
      <c r="Z4" s="8">
        <v>1797</v>
      </c>
      <c r="AA4" s="8">
        <v>1798</v>
      </c>
      <c r="AB4" s="8">
        <v>1799</v>
      </c>
      <c r="AC4" s="8">
        <v>1800</v>
      </c>
      <c r="AD4" s="8">
        <v>1801</v>
      </c>
      <c r="AE4" s="8">
        <v>1802</v>
      </c>
      <c r="AF4" s="8">
        <v>1803</v>
      </c>
      <c r="AG4" s="8">
        <v>1804</v>
      </c>
      <c r="AH4" s="8">
        <v>1805</v>
      </c>
      <c r="AI4" s="8">
        <v>1806</v>
      </c>
      <c r="AJ4" s="8">
        <v>1807</v>
      </c>
      <c r="AK4" s="8">
        <v>1808</v>
      </c>
      <c r="AL4" s="8">
        <v>1809</v>
      </c>
      <c r="AM4" s="8">
        <v>1810</v>
      </c>
      <c r="AN4" s="8">
        <v>1811</v>
      </c>
      <c r="AO4" s="8">
        <v>1812</v>
      </c>
      <c r="AP4" s="8">
        <v>1813</v>
      </c>
      <c r="AQ4" s="8">
        <v>1814</v>
      </c>
      <c r="AR4" s="8">
        <v>1815</v>
      </c>
      <c r="AS4" s="8">
        <v>1816</v>
      </c>
      <c r="AT4" s="8">
        <v>1817</v>
      </c>
      <c r="AU4" s="8">
        <v>1818</v>
      </c>
      <c r="AV4" s="8">
        <v>1819</v>
      </c>
      <c r="AW4" s="8">
        <v>1820</v>
      </c>
      <c r="AX4" s="8">
        <v>1821</v>
      </c>
      <c r="AY4" s="8">
        <v>1822</v>
      </c>
      <c r="AZ4" s="8">
        <v>1823</v>
      </c>
      <c r="BA4" s="8">
        <v>1824</v>
      </c>
      <c r="BB4" s="8">
        <v>1825</v>
      </c>
      <c r="BC4" s="8">
        <v>1826</v>
      </c>
      <c r="BD4" s="8">
        <v>1827</v>
      </c>
      <c r="BE4" s="8">
        <v>1828</v>
      </c>
      <c r="BF4" s="8">
        <v>1829</v>
      </c>
      <c r="BG4" s="8">
        <v>1830</v>
      </c>
      <c r="BH4" s="8">
        <v>1831</v>
      </c>
      <c r="BI4" s="8">
        <v>1832</v>
      </c>
      <c r="BJ4" s="8">
        <v>1833</v>
      </c>
      <c r="BK4" s="8">
        <v>1834</v>
      </c>
      <c r="BL4" s="8">
        <v>1835</v>
      </c>
      <c r="BM4" s="8">
        <v>1836</v>
      </c>
      <c r="BN4" s="8">
        <v>1837</v>
      </c>
      <c r="BO4" s="8">
        <v>1838</v>
      </c>
      <c r="BP4" s="8">
        <v>1839</v>
      </c>
      <c r="BQ4" s="8">
        <v>1840</v>
      </c>
      <c r="BR4" s="8">
        <v>1841</v>
      </c>
      <c r="BS4" s="8">
        <v>1842</v>
      </c>
      <c r="BT4" s="8">
        <v>1843</v>
      </c>
      <c r="BU4" s="8">
        <v>1844</v>
      </c>
      <c r="BV4" s="8">
        <v>1845</v>
      </c>
      <c r="BW4" s="8">
        <v>1846</v>
      </c>
      <c r="BX4" s="8">
        <v>1847</v>
      </c>
      <c r="BY4" s="8">
        <v>1848</v>
      </c>
      <c r="BZ4" s="8">
        <v>1849</v>
      </c>
      <c r="CA4" s="8">
        <v>1850</v>
      </c>
      <c r="CB4" s="8">
        <v>1851</v>
      </c>
      <c r="CC4" s="8">
        <v>1852</v>
      </c>
      <c r="CD4" s="8">
        <v>1853</v>
      </c>
      <c r="CE4" s="8">
        <v>1854</v>
      </c>
      <c r="CF4" s="8">
        <v>1855</v>
      </c>
      <c r="CG4" s="8">
        <v>1856</v>
      </c>
      <c r="CH4" s="8">
        <v>1857</v>
      </c>
      <c r="CI4" s="8">
        <v>1858</v>
      </c>
      <c r="CJ4" s="8">
        <v>1859</v>
      </c>
      <c r="CK4" s="8">
        <v>1860</v>
      </c>
      <c r="CL4" s="8">
        <v>1861</v>
      </c>
      <c r="CM4" s="8">
        <v>1862</v>
      </c>
      <c r="CN4" s="8">
        <v>1863</v>
      </c>
      <c r="CO4" s="8">
        <v>1864</v>
      </c>
      <c r="CP4" s="8">
        <v>1865</v>
      </c>
      <c r="CQ4" s="8">
        <v>1866</v>
      </c>
      <c r="CR4" s="8">
        <v>1867</v>
      </c>
      <c r="CS4" s="8">
        <v>1868</v>
      </c>
      <c r="CT4" s="8">
        <v>1869</v>
      </c>
      <c r="CU4" s="8">
        <v>1870</v>
      </c>
      <c r="CV4" s="8">
        <v>1871</v>
      </c>
      <c r="CW4" s="8">
        <v>1872</v>
      </c>
      <c r="CX4" s="8">
        <v>1873</v>
      </c>
      <c r="CY4" s="8">
        <v>1874</v>
      </c>
      <c r="CZ4" s="8">
        <v>1875</v>
      </c>
      <c r="DA4" s="8">
        <v>1876</v>
      </c>
      <c r="DB4" s="8">
        <v>1877</v>
      </c>
      <c r="DC4" s="8">
        <v>1878</v>
      </c>
      <c r="DD4" s="8">
        <v>1879</v>
      </c>
      <c r="DE4" s="8">
        <v>1880</v>
      </c>
      <c r="DF4" s="8">
        <v>1881</v>
      </c>
      <c r="DG4" s="8">
        <v>1882</v>
      </c>
      <c r="DH4" s="8">
        <v>1883</v>
      </c>
      <c r="DI4" s="8">
        <v>1884</v>
      </c>
      <c r="DJ4" s="8">
        <v>1885</v>
      </c>
      <c r="DK4" s="8">
        <v>1886</v>
      </c>
      <c r="DL4" s="8">
        <v>1887</v>
      </c>
    </row>
    <row r="5" spans="3:116">
      <c r="C5" s="8">
        <f>1788-L5</f>
        <v>1788</v>
      </c>
      <c r="D5" s="8">
        <v>1854</v>
      </c>
      <c r="E5" s="8">
        <v>32252</v>
      </c>
      <c r="F5" s="8">
        <v>25582.910599999999</v>
      </c>
      <c r="G5" s="8">
        <v>25166.8174</v>
      </c>
      <c r="H5" s="8">
        <v>24764.366599999998</v>
      </c>
      <c r="I5" s="8">
        <f>F5/E5</f>
        <v>0.7932193538385216</v>
      </c>
      <c r="J5" s="8">
        <f>G5/E5</f>
        <v>0.780318039191368</v>
      </c>
      <c r="K5" s="8">
        <f>H5/E5</f>
        <v>0.76783971846707177</v>
      </c>
      <c r="L5" s="8">
        <v>0</v>
      </c>
      <c r="M5" s="8">
        <v>1</v>
      </c>
      <c r="P5" s="8">
        <v>34106</v>
      </c>
      <c r="Q5" s="8">
        <v>34106</v>
      </c>
      <c r="R5" s="8">
        <v>28816.1594</v>
      </c>
      <c r="S5" s="8">
        <v>27107.448799999998</v>
      </c>
      <c r="T5" s="8">
        <v>26176.355</v>
      </c>
      <c r="U5" s="8">
        <v>25582.910599999999</v>
      </c>
      <c r="V5" s="8">
        <v>25166.8174</v>
      </c>
      <c r="W5" s="8">
        <v>24764.366599999998</v>
      </c>
      <c r="X5" s="8">
        <v>24454.002</v>
      </c>
      <c r="Y5" s="8">
        <v>24201.617600000001</v>
      </c>
      <c r="Z5" s="8">
        <v>23993.571</v>
      </c>
      <c r="AA5" s="8">
        <v>23812.8092</v>
      </c>
      <c r="AB5" s="8">
        <v>23672.974600000001</v>
      </c>
      <c r="AC5" s="8">
        <v>23539.961200000002</v>
      </c>
      <c r="AD5" s="8">
        <v>23410.358400000001</v>
      </c>
      <c r="AE5" s="8">
        <v>23277.345000000001</v>
      </c>
      <c r="AF5" s="8">
        <v>23134.0998</v>
      </c>
      <c r="AG5" s="8">
        <v>22966.9804</v>
      </c>
      <c r="AH5" s="8">
        <v>22789.629199999999</v>
      </c>
      <c r="AI5" s="8">
        <v>22605.4568</v>
      </c>
      <c r="AJ5" s="8">
        <v>22411.052599999999</v>
      </c>
      <c r="AK5" s="8">
        <v>22206.4166</v>
      </c>
      <c r="AL5" s="8">
        <v>21998.37</v>
      </c>
      <c r="AM5" s="8">
        <v>21783.502200000003</v>
      </c>
      <c r="AN5" s="8">
        <v>21565.2238</v>
      </c>
      <c r="AO5" s="8">
        <v>21343.534800000001</v>
      </c>
      <c r="AP5" s="8">
        <v>21121.845799999999</v>
      </c>
      <c r="AQ5" s="8">
        <v>20903.5674</v>
      </c>
      <c r="AR5" s="8">
        <v>20685.289000000001</v>
      </c>
      <c r="AS5" s="8">
        <v>20470.421199999997</v>
      </c>
      <c r="AT5" s="8">
        <v>20255.553400000001</v>
      </c>
      <c r="AU5" s="8">
        <v>20047.506799999999</v>
      </c>
      <c r="AV5" s="8">
        <v>19842.870800000001</v>
      </c>
      <c r="AW5" s="8">
        <v>19645.055999999997</v>
      </c>
      <c r="AX5" s="8">
        <v>19447.2412</v>
      </c>
      <c r="AY5" s="8">
        <v>19252.837</v>
      </c>
      <c r="AZ5" s="8">
        <v>19058.432799999999</v>
      </c>
      <c r="BA5" s="8">
        <v>18870.8498</v>
      </c>
      <c r="BB5" s="8">
        <v>18679.856199999998</v>
      </c>
      <c r="BC5" s="8">
        <v>18492.2732</v>
      </c>
      <c r="BD5" s="8">
        <v>18304.690199999997</v>
      </c>
      <c r="BE5" s="8">
        <v>18117.107199999999</v>
      </c>
      <c r="BF5" s="8">
        <v>17926.113599999997</v>
      </c>
      <c r="BG5" s="8">
        <v>17735.12</v>
      </c>
      <c r="BH5" s="8">
        <v>17540.715799999998</v>
      </c>
      <c r="BI5" s="8">
        <v>17339.490399999999</v>
      </c>
      <c r="BJ5" s="8">
        <v>17138.264999999999</v>
      </c>
      <c r="BK5" s="8">
        <v>16930.218400000002</v>
      </c>
      <c r="BL5" s="8">
        <v>16715.350599999998</v>
      </c>
      <c r="BM5" s="8">
        <v>16493.661599999999</v>
      </c>
      <c r="BN5" s="8">
        <v>16265.151399999999</v>
      </c>
      <c r="BO5" s="8">
        <v>16029.82</v>
      </c>
      <c r="BP5" s="8">
        <v>15784.256799999999</v>
      </c>
      <c r="BQ5" s="8">
        <v>15528.461799999999</v>
      </c>
      <c r="BR5" s="8">
        <v>15262.434999999999</v>
      </c>
      <c r="BS5" s="8">
        <v>14986.1764</v>
      </c>
      <c r="BT5" s="8">
        <v>14696.2754</v>
      </c>
      <c r="BU5" s="8">
        <v>14396.142599999999</v>
      </c>
      <c r="BV5" s="8">
        <v>14082.367399999999</v>
      </c>
      <c r="BW5" s="8">
        <v>13754.9498</v>
      </c>
      <c r="BX5" s="8">
        <v>13413.889799999999</v>
      </c>
      <c r="BY5" s="8">
        <v>13055.7768</v>
      </c>
      <c r="BZ5" s="8">
        <v>12684.0214</v>
      </c>
      <c r="CA5" s="8">
        <v>12298.623599999999</v>
      </c>
      <c r="CB5" s="8">
        <v>11896.1728</v>
      </c>
      <c r="CC5" s="8">
        <v>11476.669</v>
      </c>
      <c r="CD5" s="8">
        <v>11043.522799999999</v>
      </c>
      <c r="CE5" s="8">
        <v>10596.734199999999</v>
      </c>
      <c r="CF5" s="8">
        <v>10132.892599999999</v>
      </c>
      <c r="CG5" s="8">
        <v>9655.4086000000007</v>
      </c>
      <c r="CH5" s="8">
        <v>9164.2821999999996</v>
      </c>
      <c r="CI5" s="8">
        <v>8662.9240000000009</v>
      </c>
      <c r="CJ5" s="8">
        <v>8151.3339999999998</v>
      </c>
      <c r="CK5" s="8">
        <v>7629.5122000000001</v>
      </c>
      <c r="CL5" s="8">
        <v>7104.2798000000003</v>
      </c>
      <c r="CM5" s="8">
        <v>6575.6368000000002</v>
      </c>
      <c r="CN5" s="8">
        <v>6043.5832</v>
      </c>
      <c r="CO5" s="8">
        <v>5518.3508000000002</v>
      </c>
      <c r="CP5" s="8">
        <v>4996.5289999999995</v>
      </c>
      <c r="CQ5" s="8">
        <v>4484.9390000000003</v>
      </c>
      <c r="CR5" s="8">
        <v>3990.402</v>
      </c>
      <c r="CS5" s="8">
        <v>3512.9179999999997</v>
      </c>
      <c r="CT5" s="8">
        <v>3055.8975999999998</v>
      </c>
      <c r="CU5" s="8">
        <v>2626.1619999999998</v>
      </c>
      <c r="CV5" s="8">
        <v>2227.1217999999999</v>
      </c>
      <c r="CW5" s="8">
        <v>1862.1876000000002</v>
      </c>
      <c r="CX5" s="8">
        <v>1531.3594000000001</v>
      </c>
      <c r="CY5" s="8">
        <v>1238.0478000000001</v>
      </c>
      <c r="CZ5" s="8">
        <v>982.25279999999998</v>
      </c>
      <c r="DA5" s="8">
        <v>760.56380000000001</v>
      </c>
      <c r="DB5" s="8">
        <v>576.39139999999998</v>
      </c>
      <c r="DC5" s="8">
        <v>426.32500000000005</v>
      </c>
      <c r="DD5" s="8">
        <v>306.95399999999995</v>
      </c>
      <c r="DE5" s="8">
        <v>214.86779999999999</v>
      </c>
      <c r="DF5" s="8">
        <v>139.83460000000002</v>
      </c>
      <c r="DG5" s="8">
        <v>88.675600000000003</v>
      </c>
      <c r="DH5" s="8">
        <v>40.927199999999999</v>
      </c>
      <c r="DI5" s="8">
        <v>17.053000000000001</v>
      </c>
      <c r="DJ5" s="8">
        <v>10.2318</v>
      </c>
      <c r="DK5" s="8">
        <v>3.4106000000000001</v>
      </c>
      <c r="DL5" s="8">
        <v>0</v>
      </c>
    </row>
    <row r="6" spans="3:116">
      <c r="C6" s="8">
        <f>1788-L6</f>
        <v>1787</v>
      </c>
      <c r="D6" s="8">
        <v>725</v>
      </c>
      <c r="E6" s="8">
        <v>129146</v>
      </c>
      <c r="F6" s="8">
        <v>95831.810899999997</v>
      </c>
      <c r="G6" s="8">
        <v>94299.333099999989</v>
      </c>
      <c r="H6" s="8">
        <v>93117.506999999998</v>
      </c>
      <c r="I6" s="8">
        <f>F6/E6</f>
        <v>0.74204242407817511</v>
      </c>
      <c r="J6" s="8">
        <f>G6/E6</f>
        <v>0.73017618122125338</v>
      </c>
      <c r="K6" s="8">
        <f>H6/E6</f>
        <v>0.72102509562820372</v>
      </c>
      <c r="L6" s="8">
        <v>1</v>
      </c>
      <c r="M6" s="8">
        <v>0.84489999999999998</v>
      </c>
      <c r="N6" s="8">
        <f t="shared" ref="N6:N37" si="0">Q6/P6</f>
        <v>0.84489999999999998</v>
      </c>
      <c r="O6" s="8">
        <f t="shared" ref="O6:O37" si="1">M6/M5</f>
        <v>0.84489999999999998</v>
      </c>
      <c r="P6" s="8">
        <v>129871</v>
      </c>
      <c r="Q6" s="8">
        <v>109728.0079</v>
      </c>
      <c r="R6" s="8">
        <v>103221.4708</v>
      </c>
      <c r="S6" s="8">
        <v>99675.992499999993</v>
      </c>
      <c r="T6" s="8">
        <v>97416.237099999998</v>
      </c>
      <c r="U6" s="8">
        <v>95831.810899999997</v>
      </c>
      <c r="V6" s="8">
        <v>94299.333099999989</v>
      </c>
      <c r="W6" s="8">
        <v>93117.506999999998</v>
      </c>
      <c r="X6" s="8">
        <v>92156.461599999995</v>
      </c>
      <c r="Y6" s="8">
        <v>91364.248500000002</v>
      </c>
      <c r="Z6" s="8">
        <v>90675.93220000001</v>
      </c>
      <c r="AA6" s="8">
        <v>90143.4611</v>
      </c>
      <c r="AB6" s="8">
        <v>89636.964200000002</v>
      </c>
      <c r="AC6" s="8">
        <v>89143.454400000002</v>
      </c>
      <c r="AD6" s="8">
        <v>88636.957500000004</v>
      </c>
      <c r="AE6" s="8">
        <v>88091.499299999996</v>
      </c>
      <c r="AF6" s="8">
        <v>87455.131399999998</v>
      </c>
      <c r="AG6" s="8">
        <v>86779.802200000006</v>
      </c>
      <c r="AH6" s="8">
        <v>86078.498799999987</v>
      </c>
      <c r="AI6" s="8">
        <v>85338.234100000001</v>
      </c>
      <c r="AJ6" s="8">
        <v>84559.008100000006</v>
      </c>
      <c r="AK6" s="8">
        <v>83766.794999999998</v>
      </c>
      <c r="AL6" s="8">
        <v>82948.607700000008</v>
      </c>
      <c r="AM6" s="8">
        <v>82117.43329999999</v>
      </c>
      <c r="AN6" s="8">
        <v>81273.271800000002</v>
      </c>
      <c r="AO6" s="8">
        <v>80429.1103</v>
      </c>
      <c r="AP6" s="8">
        <v>79597.935899999997</v>
      </c>
      <c r="AQ6" s="8">
        <v>78766.761500000008</v>
      </c>
      <c r="AR6" s="8">
        <v>77948.574199999988</v>
      </c>
      <c r="AS6" s="8">
        <v>77130.386899999998</v>
      </c>
      <c r="AT6" s="8">
        <v>76338.173800000004</v>
      </c>
      <c r="AU6" s="8">
        <v>75558.947799999994</v>
      </c>
      <c r="AV6" s="8">
        <v>74805.695999999996</v>
      </c>
      <c r="AW6" s="8">
        <v>74052.444199999998</v>
      </c>
      <c r="AX6" s="8">
        <v>73312.179499999998</v>
      </c>
      <c r="AY6" s="8">
        <v>72571.914799999999</v>
      </c>
      <c r="AZ6" s="8">
        <v>71857.624299999996</v>
      </c>
      <c r="BA6" s="8">
        <v>71130.346699999995</v>
      </c>
      <c r="BB6" s="8">
        <v>70416.056200000006</v>
      </c>
      <c r="BC6" s="8">
        <v>69701.765699999989</v>
      </c>
      <c r="BD6" s="8">
        <v>68987.475200000001</v>
      </c>
      <c r="BE6" s="8">
        <v>68260.1976</v>
      </c>
      <c r="BF6" s="8">
        <v>67532.92</v>
      </c>
      <c r="BG6" s="8">
        <v>66792.655299999999</v>
      </c>
      <c r="BH6" s="8">
        <v>66026.416400000002</v>
      </c>
      <c r="BI6" s="8">
        <v>65260.177499999991</v>
      </c>
      <c r="BJ6" s="8">
        <v>64467.964400000004</v>
      </c>
      <c r="BK6" s="8">
        <v>63649.777099999999</v>
      </c>
      <c r="BL6" s="8">
        <v>62805.615599999997</v>
      </c>
      <c r="BM6" s="8">
        <v>61935.479899999998</v>
      </c>
      <c r="BN6" s="8">
        <v>61039.369999999995</v>
      </c>
      <c r="BO6" s="8">
        <v>60104.298799999997</v>
      </c>
      <c r="BP6" s="8">
        <v>59130.266299999996</v>
      </c>
      <c r="BQ6" s="8">
        <v>58117.272499999999</v>
      </c>
      <c r="BR6" s="8">
        <v>57065.3174</v>
      </c>
      <c r="BS6" s="8">
        <v>55961.4139</v>
      </c>
      <c r="BT6" s="8">
        <v>54818.549099999997</v>
      </c>
      <c r="BU6" s="8">
        <v>53623.7359</v>
      </c>
      <c r="BV6" s="8">
        <v>52376.974300000002</v>
      </c>
      <c r="BW6" s="8">
        <v>51078.264299999995</v>
      </c>
      <c r="BX6" s="8">
        <v>49714.618799999997</v>
      </c>
      <c r="BY6" s="8">
        <v>48299.024900000004</v>
      </c>
      <c r="BZ6" s="8">
        <v>46831.482599999996</v>
      </c>
      <c r="CA6" s="8">
        <v>45299.004800000002</v>
      </c>
      <c r="CB6" s="8">
        <v>43701.591500000002</v>
      </c>
      <c r="CC6" s="8">
        <v>42052.229799999994</v>
      </c>
      <c r="CD6" s="8">
        <v>40350.919699999999</v>
      </c>
      <c r="CE6" s="8">
        <v>38584.674099999997</v>
      </c>
      <c r="CF6" s="8">
        <v>36766.480100000001</v>
      </c>
      <c r="CG6" s="8">
        <v>34896.337699999996</v>
      </c>
      <c r="CH6" s="8">
        <v>32987.234000000004</v>
      </c>
      <c r="CI6" s="8">
        <v>31039.168999999998</v>
      </c>
      <c r="CJ6" s="8">
        <v>29052.1427</v>
      </c>
      <c r="CK6" s="8">
        <v>27052.129300000001</v>
      </c>
      <c r="CL6" s="8">
        <v>25039.128799999999</v>
      </c>
      <c r="CM6" s="8">
        <v>23013.141199999998</v>
      </c>
      <c r="CN6" s="8">
        <v>21013.127799999998</v>
      </c>
      <c r="CO6" s="8">
        <v>19026.101500000001</v>
      </c>
      <c r="CP6" s="8">
        <v>17078.036500000002</v>
      </c>
      <c r="CQ6" s="8">
        <v>15194.907000000001</v>
      </c>
      <c r="CR6" s="8">
        <v>13376.713</v>
      </c>
      <c r="CS6" s="8">
        <v>11636.4416</v>
      </c>
      <c r="CT6" s="8">
        <v>10000.066999999999</v>
      </c>
      <c r="CU6" s="8">
        <v>8480.5762999999988</v>
      </c>
      <c r="CV6" s="8">
        <v>7090.9566000000004</v>
      </c>
      <c r="CW6" s="8">
        <v>5831.2079000000003</v>
      </c>
      <c r="CX6" s="8">
        <v>4714.3172999999997</v>
      </c>
      <c r="CY6" s="8">
        <v>3740.2847999999999</v>
      </c>
      <c r="CZ6" s="8">
        <v>2896.1233000000002</v>
      </c>
      <c r="DA6" s="8">
        <v>2194.8199</v>
      </c>
      <c r="DB6" s="8">
        <v>1623.3875</v>
      </c>
      <c r="DC6" s="8">
        <v>1168.8389999999999</v>
      </c>
      <c r="DD6" s="8">
        <v>818.18730000000005</v>
      </c>
      <c r="DE6" s="8">
        <v>532.47110000000009</v>
      </c>
      <c r="DF6" s="8">
        <v>337.66460000000001</v>
      </c>
      <c r="DG6" s="8">
        <v>155.84519999999998</v>
      </c>
      <c r="DH6" s="8">
        <v>64.935500000000005</v>
      </c>
      <c r="DI6" s="8">
        <v>38.961299999999994</v>
      </c>
      <c r="DJ6" s="8">
        <v>12.9871</v>
      </c>
      <c r="DK6" s="8">
        <v>0</v>
      </c>
    </row>
    <row r="7" spans="3:116">
      <c r="L7" s="8">
        <v>2</v>
      </c>
      <c r="M7" s="8">
        <v>0.79479999999999995</v>
      </c>
      <c r="N7" s="8">
        <f t="shared" si="0"/>
        <v>0.94070304178009234</v>
      </c>
      <c r="O7" s="8">
        <f t="shared" si="1"/>
        <v>0.94070304178009223</v>
      </c>
      <c r="P7" s="8">
        <v>9045831.4953863099</v>
      </c>
      <c r="Q7" s="8">
        <v>8509441.2031400632</v>
      </c>
      <c r="R7" s="8">
        <v>8217156.672634623</v>
      </c>
      <c r="S7" s="8">
        <v>8030865.4334113756</v>
      </c>
      <c r="T7" s="8">
        <v>7900247.4380939268</v>
      </c>
      <c r="U7" s="8">
        <v>7773912</v>
      </c>
      <c r="V7" s="8">
        <v>7676483.8231648533</v>
      </c>
      <c r="W7" s="8">
        <v>7597256.5145296799</v>
      </c>
      <c r="X7" s="8">
        <v>7531947.516870955</v>
      </c>
      <c r="Y7" s="8">
        <v>7475203.6336592762</v>
      </c>
      <c r="Z7" s="8">
        <v>7431307.4221181665</v>
      </c>
      <c r="AA7" s="8">
        <v>7389552.4891888173</v>
      </c>
      <c r="AB7" s="8">
        <v>7348868.1955653494</v>
      </c>
      <c r="AC7" s="8">
        <v>7307113.2626360003</v>
      </c>
      <c r="AD7" s="8">
        <v>7262146.4117890093</v>
      </c>
      <c r="AE7" s="8">
        <v>7209685.0858008536</v>
      </c>
      <c r="AF7" s="8">
        <v>7154011.841895056</v>
      </c>
      <c r="AG7" s="8">
        <v>7096197.3193774959</v>
      </c>
      <c r="AH7" s="8">
        <v>7035170.878942295</v>
      </c>
      <c r="AI7" s="8">
        <v>6970932.5205894513</v>
      </c>
      <c r="AJ7" s="8">
        <v>6905623.5229307264</v>
      </c>
      <c r="AK7" s="8">
        <v>6838173.2466602409</v>
      </c>
      <c r="AL7" s="8">
        <v>6769652.3310838733</v>
      </c>
      <c r="AM7" s="8">
        <v>6700060.7762016263</v>
      </c>
      <c r="AN7" s="8">
        <v>6630469.2213193784</v>
      </c>
      <c r="AO7" s="8">
        <v>6561948.3057430116</v>
      </c>
      <c r="AP7" s="8">
        <v>6493427.3901666449</v>
      </c>
      <c r="AQ7" s="8">
        <v>6425977.1138961576</v>
      </c>
      <c r="AR7" s="8">
        <v>6358526.8376256721</v>
      </c>
      <c r="AS7" s="8">
        <v>6293217.8399669472</v>
      </c>
      <c r="AT7" s="8">
        <v>6228979.4816141035</v>
      </c>
      <c r="AU7" s="8">
        <v>6166882.4018730205</v>
      </c>
      <c r="AV7" s="8">
        <v>6104785.3221319392</v>
      </c>
      <c r="AW7" s="8">
        <v>6043758.8816967374</v>
      </c>
      <c r="AX7" s="8">
        <v>5982732.4412615355</v>
      </c>
      <c r="AY7" s="8">
        <v>5923847.2794380961</v>
      </c>
      <c r="AZ7" s="8">
        <v>5863891.4783087745</v>
      </c>
      <c r="BA7" s="8">
        <v>5805006.3164853351</v>
      </c>
      <c r="BB7" s="8">
        <v>5746121.1546618938</v>
      </c>
      <c r="BC7" s="8">
        <v>5687235.9928384544</v>
      </c>
      <c r="BD7" s="8">
        <v>5627280.1917091329</v>
      </c>
      <c r="BE7" s="8">
        <v>5567324.3905798122</v>
      </c>
      <c r="BF7" s="8">
        <v>5506297.9501446104</v>
      </c>
      <c r="BG7" s="8">
        <v>5443130.231097647</v>
      </c>
      <c r="BH7" s="8">
        <v>5379962.5120506836</v>
      </c>
      <c r="BI7" s="8">
        <v>5314653.5143919596</v>
      </c>
      <c r="BJ7" s="8">
        <v>5247203.2381214732</v>
      </c>
      <c r="BK7" s="8">
        <v>5177611.6832392253</v>
      </c>
      <c r="BL7" s="8">
        <v>5105878.8497452168</v>
      </c>
      <c r="BM7" s="8">
        <v>5032004.7376394458</v>
      </c>
      <c r="BN7" s="8">
        <v>4954918.707616033</v>
      </c>
      <c r="BO7" s="8">
        <v>4874620.7596749775</v>
      </c>
      <c r="BP7" s="8">
        <v>4791110.8938162802</v>
      </c>
      <c r="BQ7" s="8">
        <v>4704389.110039941</v>
      </c>
      <c r="BR7" s="8">
        <v>4613384.7690400789</v>
      </c>
      <c r="BS7" s="8">
        <v>4519168.5101225739</v>
      </c>
      <c r="BT7" s="8">
        <v>4420669.6939815469</v>
      </c>
      <c r="BU7" s="8">
        <v>4317888.3206169968</v>
      </c>
      <c r="BV7" s="8">
        <v>4210824.3900289237</v>
      </c>
      <c r="BW7" s="8">
        <v>4098407.2629114469</v>
      </c>
      <c r="BX7" s="8">
        <v>3981707.5785704474</v>
      </c>
      <c r="BY7" s="8">
        <v>3860725.337005924</v>
      </c>
      <c r="BZ7" s="8">
        <v>3734389.8989119977</v>
      </c>
      <c r="CA7" s="8">
        <v>3602701.2642886676</v>
      </c>
      <c r="CB7" s="8">
        <v>3466730.072441814</v>
      </c>
      <c r="CC7" s="8">
        <v>3326476.3233714378</v>
      </c>
      <c r="CD7" s="8">
        <v>3180869.3777716579</v>
      </c>
      <c r="CE7" s="8">
        <v>3030979.8749483558</v>
      </c>
      <c r="CF7" s="8">
        <v>2876807.8149015298</v>
      </c>
      <c r="CG7" s="8">
        <v>2719423.836937062</v>
      </c>
      <c r="CH7" s="8">
        <v>2558827.9410549519</v>
      </c>
      <c r="CI7" s="8">
        <v>2395020.1272551999</v>
      </c>
      <c r="CJ7" s="8">
        <v>2230141.6741495673</v>
      </c>
      <c r="CK7" s="8">
        <v>2064192.5817380536</v>
      </c>
      <c r="CL7" s="8">
        <v>1897172.8500206592</v>
      </c>
      <c r="CM7" s="8">
        <v>1732294.3969150262</v>
      </c>
      <c r="CN7" s="8">
        <v>1568486.5831152741</v>
      </c>
      <c r="CO7" s="8">
        <v>1407890.6872331642</v>
      </c>
      <c r="CP7" s="8">
        <v>1252647.9878804579</v>
      </c>
      <c r="CQ7" s="8">
        <v>1102758.4850571551</v>
      </c>
      <c r="CR7" s="8">
        <v>959292.81806913693</v>
      </c>
      <c r="CS7" s="8">
        <v>824392.26552816457</v>
      </c>
      <c r="CT7" s="8">
        <v>699127.46674011881</v>
      </c>
      <c r="CU7" s="8">
        <v>584569.0610108804</v>
      </c>
      <c r="CV7" s="8">
        <v>480717.04834044928</v>
      </c>
      <c r="CW7" s="8">
        <v>388642.06803470617</v>
      </c>
      <c r="CX7" s="8">
        <v>308344.12009365117</v>
      </c>
      <c r="CY7" s="8">
        <v>238752.56521140353</v>
      </c>
      <c r="CZ7" s="8">
        <v>180938.04269384392</v>
      </c>
      <c r="DA7" s="8">
        <v>133829.91323509166</v>
      </c>
      <c r="DB7" s="8">
        <v>96357.537529265988</v>
      </c>
      <c r="DC7" s="8">
        <v>67450.276270486196</v>
      </c>
      <c r="DD7" s="8">
        <v>43896.211541110068</v>
      </c>
      <c r="DE7" s="8">
        <v>27836.621952899062</v>
      </c>
      <c r="DF7" s="8">
        <v>12847.671670568798</v>
      </c>
      <c r="DG7" s="8">
        <v>5353.1965294036663</v>
      </c>
      <c r="DH7" s="8">
        <v>3211.9179176421994</v>
      </c>
      <c r="DI7" s="8">
        <v>1070.6393058807332</v>
      </c>
      <c r="DJ7" s="8">
        <v>0</v>
      </c>
    </row>
    <row r="8" spans="3:116">
      <c r="C8" s="8">
        <f>1788-L8</f>
        <v>1786</v>
      </c>
      <c r="D8" s="8">
        <v>100</v>
      </c>
      <c r="E8" s="8">
        <v>129361</v>
      </c>
      <c r="F8" s="8">
        <v>111257.70162149367</v>
      </c>
      <c r="G8" s="8">
        <v>109863.34122381346</v>
      </c>
      <c r="H8" s="8">
        <v>108729.46573559003</v>
      </c>
      <c r="I8" s="8">
        <f>F8/E8</f>
        <v>0.86005597994367444</v>
      </c>
      <c r="J8" s="8">
        <f>G8/E8</f>
        <v>0.8492771486291345</v>
      </c>
      <c r="K8" s="8">
        <f>H8/E8</f>
        <v>0.84051194514258565</v>
      </c>
      <c r="L8" s="8">
        <v>2</v>
      </c>
      <c r="M8" s="8">
        <v>0.79479999999999995</v>
      </c>
      <c r="N8" s="8">
        <f t="shared" si="0"/>
        <v>0.94070304178009223</v>
      </c>
      <c r="O8" s="8">
        <f t="shared" si="1"/>
        <v>1</v>
      </c>
      <c r="P8" s="8">
        <v>129461</v>
      </c>
      <c r="Q8" s="8">
        <v>121784.35649189253</v>
      </c>
      <c r="R8" s="8">
        <v>117601.27529885192</v>
      </c>
      <c r="S8" s="8">
        <v>114935.13563735354</v>
      </c>
      <c r="T8" s="8">
        <v>113065.77334595811</v>
      </c>
      <c r="U8" s="8">
        <v>111257.70162149367</v>
      </c>
      <c r="V8" s="8">
        <v>109863.34122381346</v>
      </c>
      <c r="W8" s="8">
        <v>108729.46573559003</v>
      </c>
      <c r="X8" s="8">
        <v>107794.7845898923</v>
      </c>
      <c r="Y8" s="8">
        <v>106982.68457805659</v>
      </c>
      <c r="Z8" s="8">
        <v>106354.45626701385</v>
      </c>
      <c r="AA8" s="8">
        <v>105756.87323943662</v>
      </c>
      <c r="AB8" s="8">
        <v>105174.61285359215</v>
      </c>
      <c r="AC8" s="8">
        <v>104577.0298260149</v>
      </c>
      <c r="AD8" s="8">
        <v>103933.47887323945</v>
      </c>
      <c r="AE8" s="8">
        <v>103182.66942833472</v>
      </c>
      <c r="AF8" s="8">
        <v>102385.89205823175</v>
      </c>
      <c r="AG8" s="8">
        <v>101558.46940466326</v>
      </c>
      <c r="AH8" s="8">
        <v>100685.07882589656</v>
      </c>
      <c r="AI8" s="8">
        <v>99765.7203219316</v>
      </c>
      <c r="AJ8" s="8">
        <v>98831.039176233884</v>
      </c>
      <c r="AK8" s="8">
        <v>97865.712747070676</v>
      </c>
      <c r="AL8" s="8">
        <v>96885.063676174701</v>
      </c>
      <c r="AM8" s="8">
        <v>95889.091963545987</v>
      </c>
      <c r="AN8" s="8">
        <v>94893.120250917273</v>
      </c>
      <c r="AO8" s="8">
        <v>93912.471180021312</v>
      </c>
      <c r="AP8" s="8">
        <v>92931.822109125336</v>
      </c>
      <c r="AQ8" s="8">
        <v>91966.495679962114</v>
      </c>
      <c r="AR8" s="8">
        <v>91001.169250798921</v>
      </c>
      <c r="AS8" s="8">
        <v>90066.488105101191</v>
      </c>
      <c r="AT8" s="8">
        <v>89147.129601136228</v>
      </c>
      <c r="AU8" s="8">
        <v>88258.416380636758</v>
      </c>
      <c r="AV8" s="8">
        <v>87369.703160137302</v>
      </c>
      <c r="AW8" s="8">
        <v>86496.312581370585</v>
      </c>
      <c r="AX8" s="8">
        <v>85622.922002603853</v>
      </c>
      <c r="AY8" s="8">
        <v>84780.176707302657</v>
      </c>
      <c r="AZ8" s="8">
        <v>83922.108770268664</v>
      </c>
      <c r="BA8" s="8">
        <v>83079.363474967453</v>
      </c>
      <c r="BB8" s="8">
        <v>82236.618179666228</v>
      </c>
      <c r="BC8" s="8">
        <v>81393.872884365017</v>
      </c>
      <c r="BD8" s="8">
        <v>80535.804947331053</v>
      </c>
      <c r="BE8" s="8">
        <v>79677.737010297074</v>
      </c>
      <c r="BF8" s="8">
        <v>78804.346431530357</v>
      </c>
      <c r="BG8" s="8">
        <v>77900.310569298148</v>
      </c>
      <c r="BH8" s="8">
        <v>76996.274707065924</v>
      </c>
      <c r="BI8" s="8">
        <v>76061.593561368209</v>
      </c>
      <c r="BJ8" s="8">
        <v>75096.267132205001</v>
      </c>
      <c r="BK8" s="8">
        <v>74100.295419576287</v>
      </c>
      <c r="BL8" s="8">
        <v>73073.678423482066</v>
      </c>
      <c r="BM8" s="8">
        <v>72016.416143922354</v>
      </c>
      <c r="BN8" s="8">
        <v>70913.185939164396</v>
      </c>
      <c r="BO8" s="8">
        <v>69763.987809208193</v>
      </c>
      <c r="BP8" s="8">
        <v>68568.82175405373</v>
      </c>
      <c r="BQ8" s="8">
        <v>67327.687773701036</v>
      </c>
      <c r="BR8" s="8">
        <v>66025.26322641733</v>
      </c>
      <c r="BS8" s="8">
        <v>64676.870753935371</v>
      </c>
      <c r="BT8" s="8">
        <v>63267.187714522428</v>
      </c>
      <c r="BU8" s="8">
        <v>61796.214108178479</v>
      </c>
      <c r="BV8" s="8">
        <v>60263.94993490354</v>
      </c>
      <c r="BW8" s="8">
        <v>58655.072552964848</v>
      </c>
      <c r="BX8" s="8">
        <v>56984.904604095165</v>
      </c>
      <c r="BY8" s="8">
        <v>55253.44608829447</v>
      </c>
      <c r="BZ8" s="8">
        <v>53445.374363830044</v>
      </c>
      <c r="CA8" s="8">
        <v>51560.689430701867</v>
      </c>
      <c r="CB8" s="8">
        <v>49614.713930642676</v>
      </c>
      <c r="CC8" s="8">
        <v>47607.447863652502</v>
      </c>
      <c r="CD8" s="8">
        <v>45523.568587998576</v>
      </c>
      <c r="CE8" s="8">
        <v>43378.398745413666</v>
      </c>
      <c r="CF8" s="8">
        <v>41171.938335897743</v>
      </c>
      <c r="CG8" s="8">
        <v>38919.510001183568</v>
      </c>
      <c r="CH8" s="8">
        <v>36621.113741271154</v>
      </c>
      <c r="CI8" s="8">
        <v>34276.749556160496</v>
      </c>
      <c r="CJ8" s="8">
        <v>31917.062729317084</v>
      </c>
      <c r="CK8" s="8">
        <v>29542.053260740915</v>
      </c>
      <c r="CL8" s="8">
        <v>27151.721150432004</v>
      </c>
      <c r="CM8" s="8">
        <v>24792.034323588588</v>
      </c>
      <c r="CN8" s="8">
        <v>22447.670138477926</v>
      </c>
      <c r="CO8" s="8">
        <v>20149.273878565513</v>
      </c>
      <c r="CP8" s="8">
        <v>17927.490827316844</v>
      </c>
      <c r="CQ8" s="8">
        <v>15782.320984731921</v>
      </c>
      <c r="CR8" s="8">
        <v>13729.086992543496</v>
      </c>
      <c r="CS8" s="8">
        <v>11798.434134217066</v>
      </c>
      <c r="CT8" s="8">
        <v>10005.685051485383</v>
      </c>
      <c r="CU8" s="8">
        <v>8366.1623860811924</v>
      </c>
      <c r="CV8" s="8">
        <v>6879.8661380044987</v>
      </c>
      <c r="CW8" s="8">
        <v>5562.1189489880462</v>
      </c>
      <c r="CX8" s="8">
        <v>4412.9208190318377</v>
      </c>
      <c r="CY8" s="8">
        <v>3416.9491064031249</v>
      </c>
      <c r="CZ8" s="8">
        <v>2589.5264528346547</v>
      </c>
      <c r="DA8" s="8">
        <v>1915.3302165936798</v>
      </c>
      <c r="DB8" s="8">
        <v>1379.0377559474493</v>
      </c>
      <c r="DC8" s="8">
        <v>965.32642916321458</v>
      </c>
      <c r="DD8" s="8">
        <v>628.228311042727</v>
      </c>
      <c r="DE8" s="8">
        <v>398.38868505148537</v>
      </c>
      <c r="DF8" s="8">
        <v>183.87170079299324</v>
      </c>
      <c r="DG8" s="8">
        <v>76.613208663747201</v>
      </c>
      <c r="DH8" s="8">
        <v>45.967925198248309</v>
      </c>
      <c r="DI8" s="8">
        <v>15.322641732749439</v>
      </c>
      <c r="DJ8" s="8">
        <v>0</v>
      </c>
    </row>
    <row r="9" spans="3:116">
      <c r="C9" s="8">
        <f>1788-L9</f>
        <v>1785</v>
      </c>
      <c r="D9" s="8">
        <v>90106</v>
      </c>
      <c r="E9" s="8">
        <v>326566</v>
      </c>
      <c r="F9" s="8">
        <v>375885.5359838953</v>
      </c>
      <c r="G9" s="8">
        <v>372006.10367388028</v>
      </c>
      <c r="H9" s="8">
        <v>368808.19325616508</v>
      </c>
      <c r="I9" s="8">
        <f>F9/E9</f>
        <v>1.1510247116475545</v>
      </c>
      <c r="J9" s="8">
        <f>G9/E9</f>
        <v>1.1391452376361295</v>
      </c>
      <c r="K9" s="8">
        <f>H9/E9</f>
        <v>1.1293526982483328</v>
      </c>
      <c r="L9" s="8">
        <v>3</v>
      </c>
      <c r="M9" s="8">
        <v>0.76749999999999996</v>
      </c>
      <c r="N9" s="8">
        <f t="shared" si="0"/>
        <v>0.96565173628585821</v>
      </c>
      <c r="O9" s="8">
        <f t="shared" si="1"/>
        <v>0.9656517362858581</v>
      </c>
      <c r="P9" s="8">
        <v>416672</v>
      </c>
      <c r="Q9" s="8">
        <v>402360.0402617011</v>
      </c>
      <c r="R9" s="8">
        <v>393238.13185707096</v>
      </c>
      <c r="S9" s="8">
        <v>386842.31102164072</v>
      </c>
      <c r="T9" s="8">
        <v>380656.18922999501</v>
      </c>
      <c r="U9" s="8">
        <v>375885.5359838953</v>
      </c>
      <c r="V9" s="8">
        <v>372006.10367388028</v>
      </c>
      <c r="W9" s="8">
        <v>368808.19325616508</v>
      </c>
      <c r="X9" s="8">
        <v>366029.68092601921</v>
      </c>
      <c r="Y9" s="8">
        <v>363880.26572722703</v>
      </c>
      <c r="Z9" s="8">
        <v>361835.70005032723</v>
      </c>
      <c r="AA9" s="8">
        <v>359843.55913437344</v>
      </c>
      <c r="AB9" s="8">
        <v>357798.99345747358</v>
      </c>
      <c r="AC9" s="8">
        <v>355597.15349773527</v>
      </c>
      <c r="AD9" s="8">
        <v>353028.34021137393</v>
      </c>
      <c r="AE9" s="8">
        <v>350302.25264217413</v>
      </c>
      <c r="AF9" s="8">
        <v>347471.31555108202</v>
      </c>
      <c r="AG9" s="8">
        <v>344483.10417715146</v>
      </c>
      <c r="AH9" s="8">
        <v>341337.6185203825</v>
      </c>
      <c r="AI9" s="8">
        <v>338139.70810266735</v>
      </c>
      <c r="AJ9" s="8">
        <v>334836.94816305995</v>
      </c>
      <c r="AK9" s="8">
        <v>331481.76346250629</v>
      </c>
      <c r="AL9" s="8">
        <v>328074.15400100657</v>
      </c>
      <c r="AM9" s="8">
        <v>324666.54453950678</v>
      </c>
      <c r="AN9" s="8">
        <v>321311.35983895318</v>
      </c>
      <c r="AO9" s="8">
        <v>317956.17513839965</v>
      </c>
      <c r="AP9" s="8">
        <v>314653.41519879212</v>
      </c>
      <c r="AQ9" s="8">
        <v>311350.65525918471</v>
      </c>
      <c r="AR9" s="8">
        <v>308152.74484146957</v>
      </c>
      <c r="AS9" s="8">
        <v>305007.25918470055</v>
      </c>
      <c r="AT9" s="8">
        <v>301966.62304982386</v>
      </c>
      <c r="AU9" s="8">
        <v>298925.98691494722</v>
      </c>
      <c r="AV9" s="8">
        <v>295937.77554101666</v>
      </c>
      <c r="AW9" s="8">
        <v>292949.56416708609</v>
      </c>
      <c r="AX9" s="8">
        <v>290066.20231504785</v>
      </c>
      <c r="AY9" s="8">
        <v>287130.41570206342</v>
      </c>
      <c r="AZ9" s="8">
        <v>284247.05385002517</v>
      </c>
      <c r="BA9" s="8">
        <v>281363.69199798693</v>
      </c>
      <c r="BB9" s="8">
        <v>278480.33014594868</v>
      </c>
      <c r="BC9" s="8">
        <v>275544.54353296425</v>
      </c>
      <c r="BD9" s="8">
        <v>272608.75691997987</v>
      </c>
      <c r="BE9" s="8">
        <v>269620.54554604931</v>
      </c>
      <c r="BF9" s="8">
        <v>266527.48465022648</v>
      </c>
      <c r="BG9" s="8">
        <v>263434.4237544036</v>
      </c>
      <c r="BH9" s="8">
        <v>260236.51333668848</v>
      </c>
      <c r="BI9" s="8">
        <v>256933.75339708105</v>
      </c>
      <c r="BJ9" s="8">
        <v>253526.14393558126</v>
      </c>
      <c r="BK9" s="8">
        <v>250013.68495218924</v>
      </c>
      <c r="BL9" s="8">
        <v>246396.37644690491</v>
      </c>
      <c r="BM9" s="8">
        <v>242621.79365878212</v>
      </c>
      <c r="BN9" s="8">
        <v>238689.93658782085</v>
      </c>
      <c r="BO9" s="8">
        <v>234600.80523402116</v>
      </c>
      <c r="BP9" s="8">
        <v>230354.39959738302</v>
      </c>
      <c r="BQ9" s="8">
        <v>225898.29491696027</v>
      </c>
      <c r="BR9" s="8">
        <v>221284.91595369906</v>
      </c>
      <c r="BS9" s="8">
        <v>216461.83794665325</v>
      </c>
      <c r="BT9" s="8">
        <v>211429.06089582288</v>
      </c>
      <c r="BU9" s="8">
        <v>206186.58480120785</v>
      </c>
      <c r="BV9" s="8">
        <v>200681.9849018621</v>
      </c>
      <c r="BW9" s="8">
        <v>194967.68595873177</v>
      </c>
      <c r="BX9" s="8">
        <v>189043.68797181681</v>
      </c>
      <c r="BY9" s="8">
        <v>182857.56618017112</v>
      </c>
      <c r="BZ9" s="8">
        <v>176409.32058379467</v>
      </c>
      <c r="CA9" s="8">
        <v>169751.37594363361</v>
      </c>
      <c r="CB9" s="8">
        <v>162883.73225968797</v>
      </c>
      <c r="CC9" s="8">
        <v>155753.96477101155</v>
      </c>
      <c r="CD9" s="8">
        <v>148414.49823855059</v>
      </c>
      <c r="CE9" s="8">
        <v>140865.33266230498</v>
      </c>
      <c r="CF9" s="8">
        <v>133158.89280322095</v>
      </c>
      <c r="CG9" s="8">
        <v>125295.17866129844</v>
      </c>
      <c r="CH9" s="8">
        <v>117274.1902365375</v>
      </c>
      <c r="CI9" s="8">
        <v>109200.77705083041</v>
      </c>
      <c r="CJ9" s="8">
        <v>101074.93910417716</v>
      </c>
      <c r="CK9" s="8">
        <v>92896.67639657775</v>
      </c>
      <c r="CL9" s="8">
        <v>84823.26321087066</v>
      </c>
      <c r="CM9" s="8">
        <v>76802.274786109716</v>
      </c>
      <c r="CN9" s="8">
        <v>68938.560644187222</v>
      </c>
      <c r="CO9" s="8">
        <v>61336.970306995478</v>
      </c>
      <c r="CP9" s="8">
        <v>53997.503774534474</v>
      </c>
      <c r="CQ9" s="8">
        <v>46972.585807750373</v>
      </c>
      <c r="CR9" s="8">
        <v>40367.065928535485</v>
      </c>
      <c r="CS9" s="8">
        <v>34233.368897835935</v>
      </c>
      <c r="CT9" s="8">
        <v>28623.919476597886</v>
      </c>
      <c r="CU9" s="8">
        <v>23538.717664821343</v>
      </c>
      <c r="CV9" s="8">
        <v>19030.188223452442</v>
      </c>
      <c r="CW9" s="8">
        <v>15098.331152491193</v>
      </c>
      <c r="CX9" s="8">
        <v>11690.721690991444</v>
      </c>
      <c r="CY9" s="8">
        <v>8859.7845998993453</v>
      </c>
      <c r="CZ9" s="8">
        <v>6553.0951182687477</v>
      </c>
      <c r="DA9" s="8">
        <v>4718.2284851534978</v>
      </c>
      <c r="DB9" s="8">
        <v>3302.7599396074488</v>
      </c>
      <c r="DC9" s="8">
        <v>2149.4151987921496</v>
      </c>
      <c r="DD9" s="8">
        <v>1363.0437845998993</v>
      </c>
      <c r="DE9" s="8">
        <v>629.09713135379968</v>
      </c>
      <c r="DF9" s="8">
        <v>262.1238047307499</v>
      </c>
      <c r="DG9" s="8">
        <v>157.27428283844992</v>
      </c>
      <c r="DH9" s="8">
        <v>52.424760946149981</v>
      </c>
    </row>
    <row r="10" spans="3:116">
      <c r="L10" s="8">
        <v>4</v>
      </c>
      <c r="M10" s="8">
        <v>0.75009999999999999</v>
      </c>
      <c r="N10" s="8">
        <f t="shared" si="0"/>
        <v>0.97732899022801312</v>
      </c>
      <c r="O10" s="8">
        <f t="shared" si="1"/>
        <v>0.97732899022801312</v>
      </c>
      <c r="P10" s="8">
        <v>1671454.058624577</v>
      </c>
      <c r="Q10" s="8">
        <v>1633560.5073280721</v>
      </c>
      <c r="R10" s="8">
        <v>1606991.4656144306</v>
      </c>
      <c r="S10" s="8">
        <v>1581293.5400225478</v>
      </c>
      <c r="T10" s="8">
        <v>1561475.6482525365</v>
      </c>
      <c r="U10" s="8">
        <v>1545360</v>
      </c>
      <c r="V10" s="8">
        <v>1529410.6778242679</v>
      </c>
      <c r="W10" s="8">
        <v>1516263.2635983264</v>
      </c>
      <c r="X10" s="8">
        <v>1504840.10041841</v>
      </c>
      <c r="Y10" s="8">
        <v>1496003.3138075315</v>
      </c>
      <c r="Z10" s="8">
        <v>1487597.589958159</v>
      </c>
      <c r="AA10" s="8">
        <v>1479407.3974895398</v>
      </c>
      <c r="AB10" s="8">
        <v>1471001.6736401673</v>
      </c>
      <c r="AC10" s="8">
        <v>1461949.3556485355</v>
      </c>
      <c r="AD10" s="8">
        <v>1451388.3179916318</v>
      </c>
      <c r="AE10" s="8">
        <v>1440180.6861924687</v>
      </c>
      <c r="AF10" s="8">
        <v>1428541.9916317991</v>
      </c>
      <c r="AG10" s="8">
        <v>1416256.7029288705</v>
      </c>
      <c r="AH10" s="8">
        <v>1403324.8200836822</v>
      </c>
      <c r="AI10" s="8">
        <v>1390177.4058577407</v>
      </c>
      <c r="AJ10" s="8">
        <v>1376598.9288702931</v>
      </c>
      <c r="AK10" s="8">
        <v>1362804.920502092</v>
      </c>
      <c r="AL10" s="8">
        <v>1348795.3807531381</v>
      </c>
      <c r="AM10" s="8">
        <v>1334785.841004184</v>
      </c>
      <c r="AN10" s="8">
        <v>1320991.8326359831</v>
      </c>
      <c r="AO10" s="8">
        <v>1307197.8242677823</v>
      </c>
      <c r="AP10" s="8">
        <v>1293619.3472803344</v>
      </c>
      <c r="AQ10" s="8">
        <v>1280040.8702928869</v>
      </c>
      <c r="AR10" s="8">
        <v>1266893.4560669453</v>
      </c>
      <c r="AS10" s="8">
        <v>1253961.5732217571</v>
      </c>
      <c r="AT10" s="8">
        <v>1241460.7531380751</v>
      </c>
      <c r="AU10" s="8">
        <v>1228959.9330543934</v>
      </c>
      <c r="AV10" s="8">
        <v>1216674.6443514645</v>
      </c>
      <c r="AW10" s="8">
        <v>1204389.3556485355</v>
      </c>
      <c r="AX10" s="8">
        <v>1192535.1297071131</v>
      </c>
      <c r="AY10" s="8">
        <v>1180465.3723849372</v>
      </c>
      <c r="AZ10" s="8">
        <v>1168611.1464435149</v>
      </c>
      <c r="BA10" s="8">
        <v>1156756.9205020922</v>
      </c>
      <c r="BB10" s="8">
        <v>1144902.6945606698</v>
      </c>
      <c r="BC10" s="8">
        <v>1132832.9372384939</v>
      </c>
      <c r="BD10" s="8">
        <v>1120763.1799163183</v>
      </c>
      <c r="BE10" s="8">
        <v>1108477.8912133893</v>
      </c>
      <c r="BF10" s="8">
        <v>1095761.5397489541</v>
      </c>
      <c r="BG10" s="8">
        <v>1083045.1882845189</v>
      </c>
      <c r="BH10" s="8">
        <v>1069897.7740585776</v>
      </c>
      <c r="BI10" s="8">
        <v>1056319.2970711298</v>
      </c>
      <c r="BJ10" s="8">
        <v>1042309.7573221758</v>
      </c>
      <c r="BK10" s="8">
        <v>1027869.1548117156</v>
      </c>
      <c r="BL10" s="8">
        <v>1012997.489539749</v>
      </c>
      <c r="BM10" s="8">
        <v>997479.23012552306</v>
      </c>
      <c r="BN10" s="8">
        <v>981314.37656903767</v>
      </c>
      <c r="BO10" s="8">
        <v>964502.92887029296</v>
      </c>
      <c r="BP10" s="8">
        <v>947044.8870292888</v>
      </c>
      <c r="BQ10" s="8">
        <v>928724.71966527204</v>
      </c>
      <c r="BR10" s="8">
        <v>909757.95815899584</v>
      </c>
      <c r="BS10" s="8">
        <v>889929.07112970715</v>
      </c>
      <c r="BT10" s="8">
        <v>869238.05857740587</v>
      </c>
      <c r="BU10" s="8">
        <v>847684.92050209199</v>
      </c>
      <c r="BV10" s="8">
        <v>825054.12552301248</v>
      </c>
      <c r="BW10" s="8">
        <v>801561.20502092049</v>
      </c>
      <c r="BX10" s="8">
        <v>777206.15899581579</v>
      </c>
      <c r="BY10" s="8">
        <v>751773.45606694557</v>
      </c>
      <c r="BZ10" s="8">
        <v>725263.0962343096</v>
      </c>
      <c r="CA10" s="8">
        <v>697890.61087866093</v>
      </c>
      <c r="CB10" s="8">
        <v>669655.99999999988</v>
      </c>
      <c r="CC10" s="8">
        <v>640343.7322175731</v>
      </c>
      <c r="CD10" s="8">
        <v>610169.33891213383</v>
      </c>
      <c r="CE10" s="8">
        <v>579132.82008368184</v>
      </c>
      <c r="CF10" s="8">
        <v>547449.70711297053</v>
      </c>
      <c r="CG10" s="8">
        <v>515119.99999999983</v>
      </c>
      <c r="CH10" s="8">
        <v>482143.69874476973</v>
      </c>
      <c r="CI10" s="8">
        <v>448951.86610878649</v>
      </c>
      <c r="CJ10" s="8">
        <v>415544.5020920501</v>
      </c>
      <c r="CK10" s="8">
        <v>381921.60669456056</v>
      </c>
      <c r="CL10" s="8">
        <v>348729.77405857731</v>
      </c>
      <c r="CM10" s="8">
        <v>315753.47280334716</v>
      </c>
      <c r="CN10" s="8">
        <v>283423.76569037652</v>
      </c>
      <c r="CO10" s="8">
        <v>252171.7154811715</v>
      </c>
      <c r="CP10" s="8">
        <v>221997.32217573214</v>
      </c>
      <c r="CQ10" s="8">
        <v>193116.11715481165</v>
      </c>
      <c r="CR10" s="8">
        <v>165959.16317991627</v>
      </c>
      <c r="CS10" s="8">
        <v>140741.99163179912</v>
      </c>
      <c r="CT10" s="8">
        <v>117680.13389121337</v>
      </c>
      <c r="CU10" s="8">
        <v>96773.589958158977</v>
      </c>
      <c r="CV10" s="8">
        <v>78237.891213389099</v>
      </c>
      <c r="CW10" s="8">
        <v>62073.037656903747</v>
      </c>
      <c r="CX10" s="8">
        <v>48063.497907949779</v>
      </c>
      <c r="CY10" s="8">
        <v>36424.803347280322</v>
      </c>
      <c r="CZ10" s="8">
        <v>26941.422594142256</v>
      </c>
      <c r="DA10" s="8">
        <v>19397.82426778242</v>
      </c>
      <c r="DB10" s="8">
        <v>13578.476987447695</v>
      </c>
      <c r="DC10" s="8">
        <v>8836.7866108786602</v>
      </c>
      <c r="DD10" s="8">
        <v>5603.8158995815884</v>
      </c>
      <c r="DE10" s="8">
        <v>2586.3765690376563</v>
      </c>
      <c r="DF10" s="8">
        <v>1077.6569037656902</v>
      </c>
      <c r="DG10" s="8">
        <v>646.59414225941407</v>
      </c>
    </row>
    <row r="11" spans="3:116">
      <c r="C11" s="8">
        <f>1788-L11</f>
        <v>1784</v>
      </c>
      <c r="D11" s="8">
        <v>10660</v>
      </c>
      <c r="E11" s="8">
        <v>314611</v>
      </c>
      <c r="F11" s="8">
        <v>300732.64052117267</v>
      </c>
      <c r="G11" s="8">
        <v>298147.42475570034</v>
      </c>
      <c r="H11" s="8">
        <v>295901.25368078181</v>
      </c>
      <c r="I11" s="8">
        <f>F11/E11</f>
        <v>0.95588724018286919</v>
      </c>
      <c r="J11" s="8">
        <f>G11/E11</f>
        <v>0.94767005843947083</v>
      </c>
      <c r="K11" s="8">
        <f>H11/E11</f>
        <v>0.94053053987553459</v>
      </c>
      <c r="L11" s="8">
        <v>4</v>
      </c>
      <c r="M11" s="8">
        <v>0.75009999999999999</v>
      </c>
      <c r="N11" s="8">
        <f t="shared" si="0"/>
        <v>0.97732899022801312</v>
      </c>
      <c r="O11" s="8">
        <f t="shared" si="1"/>
        <v>1</v>
      </c>
      <c r="P11" s="8">
        <v>325271</v>
      </c>
      <c r="Q11" s="8">
        <v>317896.77798045607</v>
      </c>
      <c r="R11" s="8">
        <v>312726.34644951142</v>
      </c>
      <c r="S11" s="8">
        <v>307725.43726384366</v>
      </c>
      <c r="T11" s="8">
        <v>303868.80390879483</v>
      </c>
      <c r="U11" s="8">
        <v>300732.64052117267</v>
      </c>
      <c r="V11" s="8">
        <v>298147.42475570034</v>
      </c>
      <c r="W11" s="8">
        <v>295901.25368078181</v>
      </c>
      <c r="X11" s="8">
        <v>294163.64964169386</v>
      </c>
      <c r="Y11" s="8">
        <v>292510.8067752443</v>
      </c>
      <c r="Z11" s="8">
        <v>290900.34449511406</v>
      </c>
      <c r="AA11" s="8">
        <v>289247.5016286645</v>
      </c>
      <c r="AB11" s="8">
        <v>287467.51700325735</v>
      </c>
      <c r="AC11" s="8">
        <v>285390.86827361566</v>
      </c>
      <c r="AD11" s="8">
        <v>283187.07778501633</v>
      </c>
      <c r="AE11" s="8">
        <v>280898.52612377849</v>
      </c>
      <c r="AF11" s="8">
        <v>278482.83270358306</v>
      </c>
      <c r="AG11" s="8">
        <v>275939.99752442999</v>
      </c>
      <c r="AH11" s="8">
        <v>273354.78175895766</v>
      </c>
      <c r="AI11" s="8">
        <v>270684.80482084694</v>
      </c>
      <c r="AJ11" s="8">
        <v>267972.44729641691</v>
      </c>
      <c r="AK11" s="8">
        <v>265217.70918566774</v>
      </c>
      <c r="AL11" s="8">
        <v>262462.97107491858</v>
      </c>
      <c r="AM11" s="8">
        <v>259750.6135504886</v>
      </c>
      <c r="AN11" s="8">
        <v>257038.25602605863</v>
      </c>
      <c r="AO11" s="8">
        <v>254368.27908794789</v>
      </c>
      <c r="AP11" s="8">
        <v>251698.30214983711</v>
      </c>
      <c r="AQ11" s="8">
        <v>249113.08638436481</v>
      </c>
      <c r="AR11" s="8">
        <v>246570.25120521174</v>
      </c>
      <c r="AS11" s="8">
        <v>244112.17719869706</v>
      </c>
      <c r="AT11" s="8">
        <v>241654.10319218243</v>
      </c>
      <c r="AU11" s="8">
        <v>239238.40977198698</v>
      </c>
      <c r="AV11" s="8">
        <v>236822.71635179152</v>
      </c>
      <c r="AW11" s="8">
        <v>234491.78410423454</v>
      </c>
      <c r="AX11" s="8">
        <v>232118.47127035831</v>
      </c>
      <c r="AY11" s="8">
        <v>229787.5390228013</v>
      </c>
      <c r="AZ11" s="8">
        <v>227456.60677524429</v>
      </c>
      <c r="BA11" s="8">
        <v>225125.67452768731</v>
      </c>
      <c r="BB11" s="8">
        <v>222752.36169381105</v>
      </c>
      <c r="BC11" s="8">
        <v>220379.04885993488</v>
      </c>
      <c r="BD11" s="8">
        <v>217963.35543973942</v>
      </c>
      <c r="BE11" s="8">
        <v>215462.90084690554</v>
      </c>
      <c r="BF11" s="8">
        <v>212962.44625407166</v>
      </c>
      <c r="BG11" s="8">
        <v>210377.23048859937</v>
      </c>
      <c r="BH11" s="8">
        <v>207707.25355048859</v>
      </c>
      <c r="BI11" s="8">
        <v>204952.51543973942</v>
      </c>
      <c r="BJ11" s="8">
        <v>202113.01615635178</v>
      </c>
      <c r="BK11" s="8">
        <v>199188.75570032574</v>
      </c>
      <c r="BL11" s="8">
        <v>196137.353485342</v>
      </c>
      <c r="BM11" s="8">
        <v>192958.80951140064</v>
      </c>
      <c r="BN11" s="8">
        <v>189653.12377850164</v>
      </c>
      <c r="BO11" s="8">
        <v>186220.29628664497</v>
      </c>
      <c r="BP11" s="8">
        <v>182617.94644951142</v>
      </c>
      <c r="BQ11" s="8">
        <v>178888.4548534202</v>
      </c>
      <c r="BR11" s="8">
        <v>174989.44091205214</v>
      </c>
      <c r="BS11" s="8">
        <v>170920.90462540719</v>
      </c>
      <c r="BT11" s="8">
        <v>166682.84599348533</v>
      </c>
      <c r="BU11" s="8">
        <v>162232.88442996744</v>
      </c>
      <c r="BV11" s="8">
        <v>157613.40052117265</v>
      </c>
      <c r="BW11" s="8">
        <v>152824.39426710099</v>
      </c>
      <c r="BX11" s="8">
        <v>147823.48508143323</v>
      </c>
      <c r="BY11" s="8">
        <v>142610.67296416938</v>
      </c>
      <c r="BZ11" s="8">
        <v>137228.33850162866</v>
      </c>
      <c r="CA11" s="8">
        <v>131676.48169381107</v>
      </c>
      <c r="CB11" s="8">
        <v>125912.72195439738</v>
      </c>
      <c r="CC11" s="8">
        <v>119979.43986970685</v>
      </c>
      <c r="CD11" s="8">
        <v>113876.63543973942</v>
      </c>
      <c r="CE11" s="8">
        <v>107646.68925081434</v>
      </c>
      <c r="CF11" s="8">
        <v>101289.60130293159</v>
      </c>
      <c r="CG11" s="8">
        <v>94805.371596091223</v>
      </c>
      <c r="CH11" s="8">
        <v>88278.761302931613</v>
      </c>
      <c r="CI11" s="8">
        <v>81709.770423452777</v>
      </c>
      <c r="CJ11" s="8">
        <v>75098.398957654717</v>
      </c>
      <c r="CK11" s="8">
        <v>68571.788664495121</v>
      </c>
      <c r="CL11" s="8">
        <v>62087.558957654721</v>
      </c>
      <c r="CM11" s="8">
        <v>55730.471009771987</v>
      </c>
      <c r="CN11" s="8">
        <v>49585.285993485348</v>
      </c>
      <c r="CO11" s="8">
        <v>43652.003908794788</v>
      </c>
      <c r="CP11" s="8">
        <v>37973.005342019547</v>
      </c>
      <c r="CQ11" s="8">
        <v>32633.051465798046</v>
      </c>
      <c r="CR11" s="8">
        <v>27674.522866449512</v>
      </c>
      <c r="CS11" s="8">
        <v>23139.800130293163</v>
      </c>
      <c r="CT11" s="8">
        <v>19028.883257328991</v>
      </c>
      <c r="CU11" s="8">
        <v>15384.152833876222</v>
      </c>
      <c r="CV11" s="8">
        <v>12205.608859934853</v>
      </c>
      <c r="CW11" s="8">
        <v>9450.8707491856694</v>
      </c>
      <c r="CX11" s="8">
        <v>7162.3190879478825</v>
      </c>
      <c r="CY11" s="8">
        <v>5297.5732899022805</v>
      </c>
      <c r="CZ11" s="8">
        <v>3814.2527687296415</v>
      </c>
      <c r="DA11" s="8">
        <v>2669.9769381107494</v>
      </c>
      <c r="DB11" s="8">
        <v>1737.604039087948</v>
      </c>
      <c r="DC11" s="8">
        <v>1101.8952442996742</v>
      </c>
      <c r="DD11" s="8">
        <v>508.56703583061886</v>
      </c>
      <c r="DE11" s="8">
        <v>211.90293159609124</v>
      </c>
      <c r="DF11" s="8">
        <v>127.14175895765472</v>
      </c>
      <c r="DG11" s="8">
        <v>42.380586319218246</v>
      </c>
    </row>
    <row r="12" spans="3:116">
      <c r="C12" s="8">
        <f>1788-L12</f>
        <v>1783</v>
      </c>
      <c r="D12" s="8">
        <v>6723</v>
      </c>
      <c r="E12" s="8">
        <v>1111531</v>
      </c>
      <c r="F12" s="8">
        <v>1048782.4143447541</v>
      </c>
      <c r="G12" s="8">
        <v>1040881.1395813893</v>
      </c>
      <c r="H12" s="8">
        <v>1034768.8326889749</v>
      </c>
      <c r="I12" s="8">
        <f>F12/E12</f>
        <v>0.94354760626986933</v>
      </c>
      <c r="J12" s="8">
        <f>G12/E12</f>
        <v>0.93643914527025274</v>
      </c>
      <c r="K12" s="8">
        <f>H12/E12</f>
        <v>0.93094014713847384</v>
      </c>
      <c r="L12" s="8">
        <v>5</v>
      </c>
      <c r="M12" s="8">
        <v>0.7379</v>
      </c>
      <c r="N12" s="8">
        <f t="shared" si="0"/>
        <v>0.98373550193307546</v>
      </c>
      <c r="O12" s="8">
        <f t="shared" si="1"/>
        <v>0.98373550193307557</v>
      </c>
      <c r="P12" s="8">
        <v>1118254</v>
      </c>
      <c r="Q12" s="8">
        <v>1100066.1599786694</v>
      </c>
      <c r="R12" s="8">
        <v>1082474.642580989</v>
      </c>
      <c r="S12" s="8">
        <v>1068908.3028929476</v>
      </c>
      <c r="T12" s="8">
        <v>1057876.3343554193</v>
      </c>
      <c r="U12" s="8">
        <v>1048782.4143447541</v>
      </c>
      <c r="V12" s="8">
        <v>1040881.1395813893</v>
      </c>
      <c r="W12" s="8">
        <v>1034768.8326889749</v>
      </c>
      <c r="X12" s="8">
        <v>1028954.6871083856</v>
      </c>
      <c r="Y12" s="8">
        <v>1023289.6221837088</v>
      </c>
      <c r="Z12" s="8">
        <v>1017475.4766031195</v>
      </c>
      <c r="AA12" s="8">
        <v>1011214.0890547927</v>
      </c>
      <c r="AB12" s="8">
        <v>1003909.136915078</v>
      </c>
      <c r="AC12" s="8">
        <v>996156.94280762563</v>
      </c>
      <c r="AD12" s="8">
        <v>988106.58738834818</v>
      </c>
      <c r="AE12" s="8">
        <v>979608.99000133318</v>
      </c>
      <c r="AF12" s="8">
        <v>970664.1506465805</v>
      </c>
      <c r="AG12" s="8">
        <v>961570.2306359153</v>
      </c>
      <c r="AH12" s="8">
        <v>952178.14931342495</v>
      </c>
      <c r="AI12" s="8">
        <v>942636.98733502196</v>
      </c>
      <c r="AJ12" s="8">
        <v>932946.74470070656</v>
      </c>
      <c r="AK12" s="8">
        <v>923256.50206639105</v>
      </c>
      <c r="AL12" s="8">
        <v>913715.34008798818</v>
      </c>
      <c r="AM12" s="8">
        <v>904174.17810958554</v>
      </c>
      <c r="AN12" s="8">
        <v>894782.09678709507</v>
      </c>
      <c r="AO12" s="8">
        <v>885390.01546460472</v>
      </c>
      <c r="AP12" s="8">
        <v>876296.09545393952</v>
      </c>
      <c r="AQ12" s="8">
        <v>867351.25609918684</v>
      </c>
      <c r="AR12" s="8">
        <v>858704.5780562592</v>
      </c>
      <c r="AS12" s="8">
        <v>850057.90001333167</v>
      </c>
      <c r="AT12" s="8">
        <v>841560.30262631655</v>
      </c>
      <c r="AU12" s="8">
        <v>833062.70523930143</v>
      </c>
      <c r="AV12" s="8">
        <v>824863.26916411147</v>
      </c>
      <c r="AW12" s="8">
        <v>816514.75243300898</v>
      </c>
      <c r="AX12" s="8">
        <v>808315.31635781901</v>
      </c>
      <c r="AY12" s="8">
        <v>800115.88028262882</v>
      </c>
      <c r="AZ12" s="8">
        <v>791916.44420743908</v>
      </c>
      <c r="BA12" s="8">
        <v>783567.92747633636</v>
      </c>
      <c r="BB12" s="8">
        <v>775219.41074523411</v>
      </c>
      <c r="BC12" s="8">
        <v>766721.81335821899</v>
      </c>
      <c r="BD12" s="8">
        <v>757926.05465937883</v>
      </c>
      <c r="BE12" s="8">
        <v>749130.29596053844</v>
      </c>
      <c r="BF12" s="8">
        <v>740036.37594987347</v>
      </c>
      <c r="BG12" s="8">
        <v>730644.29462738289</v>
      </c>
      <c r="BH12" s="8">
        <v>720954.05199306761</v>
      </c>
      <c r="BI12" s="8">
        <v>710965.64804692706</v>
      </c>
      <c r="BJ12" s="8">
        <v>700679.08278896147</v>
      </c>
      <c r="BK12" s="8">
        <v>689945.27556325821</v>
      </c>
      <c r="BL12" s="8">
        <v>678764.22636981739</v>
      </c>
      <c r="BM12" s="8">
        <v>667135.9352086389</v>
      </c>
      <c r="BN12" s="8">
        <v>655060.40207972273</v>
      </c>
      <c r="BO12" s="8">
        <v>642388.54632715636</v>
      </c>
      <c r="BP12" s="8">
        <v>629269.44860685244</v>
      </c>
      <c r="BQ12" s="8">
        <v>615554.02826289821</v>
      </c>
      <c r="BR12" s="8">
        <v>601242.28529529402</v>
      </c>
      <c r="BS12" s="8">
        <v>586334.21970403939</v>
      </c>
      <c r="BT12" s="8">
        <v>570680.75083322218</v>
      </c>
      <c r="BU12" s="8">
        <v>554430.95933875476</v>
      </c>
      <c r="BV12" s="8">
        <v>537584.84522063716</v>
      </c>
      <c r="BW12" s="8">
        <v>519993.32782295696</v>
      </c>
      <c r="BX12" s="8">
        <v>501656.40714571392</v>
      </c>
      <c r="BY12" s="8">
        <v>482723.16384482064</v>
      </c>
      <c r="BZ12" s="8">
        <v>463193.59792027727</v>
      </c>
      <c r="CA12" s="8">
        <v>442918.6287161712</v>
      </c>
      <c r="CB12" s="8">
        <v>422047.33688841492</v>
      </c>
      <c r="CC12" s="8">
        <v>400579.72243700834</v>
      </c>
      <c r="CD12" s="8">
        <v>378664.86601786432</v>
      </c>
      <c r="CE12" s="8">
        <v>356302.76763098256</v>
      </c>
      <c r="CF12" s="8">
        <v>333493.42727636319</v>
      </c>
      <c r="CG12" s="8">
        <v>310535.00626583124</v>
      </c>
      <c r="CH12" s="8">
        <v>287427.50459938677</v>
      </c>
      <c r="CI12" s="8">
        <v>264170.92227702972</v>
      </c>
      <c r="CJ12" s="8">
        <v>241212.50126649783</v>
      </c>
      <c r="CK12" s="8">
        <v>218403.1609118784</v>
      </c>
      <c r="CL12" s="8">
        <v>196041.0625249967</v>
      </c>
      <c r="CM12" s="8">
        <v>174424.36741767765</v>
      </c>
      <c r="CN12" s="8">
        <v>153553.07558992135</v>
      </c>
      <c r="CO12" s="8">
        <v>133576.26769764032</v>
      </c>
      <c r="CP12" s="8">
        <v>114792.10505265965</v>
      </c>
      <c r="CQ12" s="8">
        <v>97349.668310891881</v>
      </c>
      <c r="CR12" s="8">
        <v>81398.038128249565</v>
      </c>
      <c r="CS12" s="8">
        <v>66937.214504732707</v>
      </c>
      <c r="CT12" s="8">
        <v>54116.278096253831</v>
      </c>
      <c r="CU12" s="8">
        <v>42935.22890281296</v>
      </c>
      <c r="CV12" s="8">
        <v>33244.986268497538</v>
      </c>
      <c r="CW12" s="8">
        <v>25194.630849220102</v>
      </c>
      <c r="CX12" s="8">
        <v>18635.081989068127</v>
      </c>
      <c r="CY12" s="8">
        <v>13417.25903212905</v>
      </c>
      <c r="CZ12" s="8">
        <v>9392.0813224903359</v>
      </c>
      <c r="DA12" s="8">
        <v>6112.3068924143454</v>
      </c>
      <c r="DB12" s="8">
        <v>3876.0970537261696</v>
      </c>
      <c r="DC12" s="8">
        <v>1788.9678709505397</v>
      </c>
      <c r="DD12" s="8">
        <v>745.40327956272506</v>
      </c>
      <c r="DE12" s="8">
        <v>447.24196773763492</v>
      </c>
      <c r="DF12" s="8">
        <v>149.08065591254501</v>
      </c>
    </row>
    <row r="13" spans="3:116">
      <c r="L13" s="8">
        <v>6</v>
      </c>
      <c r="M13" s="8">
        <v>0.72609999999999997</v>
      </c>
      <c r="N13" s="8">
        <f t="shared" si="0"/>
        <v>0.98400867326195951</v>
      </c>
      <c r="O13" s="8">
        <f t="shared" si="1"/>
        <v>0.98400867326195962</v>
      </c>
      <c r="P13" s="8">
        <v>3385416.9268118017</v>
      </c>
      <c r="Q13" s="8">
        <v>3331279.6185906613</v>
      </c>
      <c r="R13" s="8">
        <v>3289529.6605557143</v>
      </c>
      <c r="S13" s="8">
        <v>3255579.1452305927</v>
      </c>
      <c r="T13" s="8">
        <v>3227592.9096247493</v>
      </c>
      <c r="U13" s="8">
        <v>3203277</v>
      </c>
      <c r="V13" s="8">
        <v>3184466.579346892</v>
      </c>
      <c r="W13" s="8">
        <v>3166573.7401890573</v>
      </c>
      <c r="X13" s="8">
        <v>3149139.6917788596</v>
      </c>
      <c r="Y13" s="8">
        <v>3131246.8526210249</v>
      </c>
      <c r="Z13" s="8">
        <v>3111977.6412202804</v>
      </c>
      <c r="AA13" s="8">
        <v>3089496.8945860784</v>
      </c>
      <c r="AB13" s="8">
        <v>3065639.775708966</v>
      </c>
      <c r="AC13" s="8">
        <v>3040865.0753365797</v>
      </c>
      <c r="AD13" s="8">
        <v>3014714.0027212836</v>
      </c>
      <c r="AE13" s="8">
        <v>2987186.5578630767</v>
      </c>
      <c r="AF13" s="8">
        <v>2959200.3222572333</v>
      </c>
      <c r="AG13" s="8">
        <v>2930296.5051561161</v>
      </c>
      <c r="AH13" s="8">
        <v>2900933.8973073619</v>
      </c>
      <c r="AI13" s="8">
        <v>2871112.4987109713</v>
      </c>
      <c r="AJ13" s="8">
        <v>2841291.1001145802</v>
      </c>
      <c r="AK13" s="8">
        <v>2811928.4922658266</v>
      </c>
      <c r="AL13" s="8">
        <v>2782565.8844170729</v>
      </c>
      <c r="AM13" s="8">
        <v>2753662.0673159552</v>
      </c>
      <c r="AN13" s="8">
        <v>2724758.250214838</v>
      </c>
      <c r="AO13" s="8">
        <v>2696772.0146089946</v>
      </c>
      <c r="AP13" s="8">
        <v>2669244.5697507877</v>
      </c>
      <c r="AQ13" s="8">
        <v>2642634.7063878542</v>
      </c>
      <c r="AR13" s="8">
        <v>2616024.8430249211</v>
      </c>
      <c r="AS13" s="8">
        <v>2589873.7704096246</v>
      </c>
      <c r="AT13" s="8">
        <v>2563722.697794328</v>
      </c>
      <c r="AU13" s="8">
        <v>2538489.2066743053</v>
      </c>
      <c r="AV13" s="8">
        <v>2512796.9248066451</v>
      </c>
      <c r="AW13" s="8">
        <v>2487563.4336866224</v>
      </c>
      <c r="AX13" s="8">
        <v>2462329.9425665992</v>
      </c>
      <c r="AY13" s="8">
        <v>2437096.4514465765</v>
      </c>
      <c r="AZ13" s="8">
        <v>2411404.1695789164</v>
      </c>
      <c r="BA13" s="8">
        <v>2385711.8877112572</v>
      </c>
      <c r="BB13" s="8">
        <v>2359560.8150959606</v>
      </c>
      <c r="BC13" s="8">
        <v>2332492.1609853907</v>
      </c>
      <c r="BD13" s="8">
        <v>2305423.5068748207</v>
      </c>
      <c r="BE13" s="8">
        <v>2277437.2712689773</v>
      </c>
      <c r="BF13" s="8">
        <v>2248533.4541678601</v>
      </c>
      <c r="BG13" s="8">
        <v>2218712.0555714695</v>
      </c>
      <c r="BH13" s="8">
        <v>2187973.0754798055</v>
      </c>
      <c r="BI13" s="8">
        <v>2156316.5138928676</v>
      </c>
      <c r="BJ13" s="8">
        <v>2123283.5800630194</v>
      </c>
      <c r="BK13" s="8">
        <v>2088874.2739902609</v>
      </c>
      <c r="BL13" s="8">
        <v>2053088.5956745921</v>
      </c>
      <c r="BM13" s="8">
        <v>2015926.5451160129</v>
      </c>
      <c r="BN13" s="8">
        <v>1976929.3315668865</v>
      </c>
      <c r="BO13" s="8">
        <v>1936555.7457748498</v>
      </c>
      <c r="BP13" s="8">
        <v>1894346.996992266</v>
      </c>
      <c r="BQ13" s="8">
        <v>1850303.085219135</v>
      </c>
      <c r="BR13" s="8">
        <v>1804424.010455457</v>
      </c>
      <c r="BS13" s="8">
        <v>1756250.9819535951</v>
      </c>
      <c r="BT13" s="8">
        <v>1706242.7904611861</v>
      </c>
      <c r="BU13" s="8">
        <v>1654399.4359782299</v>
      </c>
      <c r="BV13" s="8">
        <v>1600262.1277570899</v>
      </c>
      <c r="BW13" s="8">
        <v>1543830.865797766</v>
      </c>
      <c r="BX13" s="8">
        <v>1485564.4408478946</v>
      </c>
      <c r="BY13" s="8">
        <v>1425462.8529074765</v>
      </c>
      <c r="BZ13" s="8">
        <v>1363067.3112288744</v>
      </c>
      <c r="CA13" s="8">
        <v>1298836.6065597252</v>
      </c>
      <c r="CB13" s="8">
        <v>1232770.7389000289</v>
      </c>
      <c r="CC13" s="8">
        <v>1165328.4989974222</v>
      </c>
      <c r="CD13" s="8">
        <v>1096509.8868519051</v>
      </c>
      <c r="CE13" s="8">
        <v>1026314.9024634778</v>
      </c>
      <c r="CF13" s="8">
        <v>955661.12732741365</v>
      </c>
      <c r="CG13" s="8">
        <v>884548.56144371268</v>
      </c>
      <c r="CH13" s="8">
        <v>812977.2048123749</v>
      </c>
      <c r="CI13" s="8">
        <v>742323.42967631074</v>
      </c>
      <c r="CJ13" s="8">
        <v>672128.44528788328</v>
      </c>
      <c r="CK13" s="8">
        <v>603309.83314236626</v>
      </c>
      <c r="CL13" s="8">
        <v>536785.17473503307</v>
      </c>
      <c r="CM13" s="8">
        <v>472554.47006588377</v>
      </c>
      <c r="CN13" s="8">
        <v>411076.50988255523</v>
      </c>
      <c r="CO13" s="8">
        <v>353268.8756803209</v>
      </c>
      <c r="CP13" s="8">
        <v>299590.35820681759</v>
      </c>
      <c r="CQ13" s="8">
        <v>250499.74820968212</v>
      </c>
      <c r="CR13" s="8">
        <v>205997.04568891443</v>
      </c>
      <c r="CS13" s="8">
        <v>166541.0413921513</v>
      </c>
      <c r="CT13" s="8">
        <v>132131.73531939276</v>
      </c>
      <c r="CU13" s="8">
        <v>102310.33672300204</v>
      </c>
      <c r="CV13" s="8">
        <v>77535.636350615881</v>
      </c>
      <c r="CW13" s="8">
        <v>57348.843454597554</v>
      </c>
      <c r="CX13" s="8">
        <v>41291.167287310236</v>
      </c>
      <c r="CY13" s="8">
        <v>28903.817101117169</v>
      </c>
      <c r="CZ13" s="8">
        <v>18810.420653108002</v>
      </c>
      <c r="DA13" s="8">
        <v>11928.559438556293</v>
      </c>
      <c r="DB13" s="8">
        <v>5505.4889716413654</v>
      </c>
      <c r="DC13" s="8">
        <v>2293.9537381839027</v>
      </c>
      <c r="DD13" s="8">
        <v>1376.3722429103416</v>
      </c>
      <c r="DE13" s="8">
        <v>458.79074763678057</v>
      </c>
    </row>
    <row r="14" spans="3:116">
      <c r="C14" s="8">
        <f>1788-L14</f>
        <v>1782</v>
      </c>
      <c r="D14" s="8">
        <v>18691</v>
      </c>
      <c r="E14" s="8">
        <v>3052003</v>
      </c>
      <c r="F14" s="8">
        <v>2905486.5846320642</v>
      </c>
      <c r="G14" s="8">
        <v>2888424.8616343681</v>
      </c>
      <c r="H14" s="8">
        <v>2872195.4178072913</v>
      </c>
      <c r="I14" s="8">
        <f>F14/E14</f>
        <v>0.9519933580117923</v>
      </c>
      <c r="J14" s="8">
        <f>G14/E14</f>
        <v>0.94640302176451596</v>
      </c>
      <c r="K14" s="8">
        <f>H14/E14</f>
        <v>0.94108538484637505</v>
      </c>
      <c r="L14" s="8">
        <v>6</v>
      </c>
      <c r="M14" s="8">
        <v>0.72609999999999997</v>
      </c>
      <c r="N14" s="8">
        <f t="shared" si="0"/>
        <v>0.98400867326195962</v>
      </c>
      <c r="O14" s="8">
        <f t="shared" si="1"/>
        <v>1</v>
      </c>
      <c r="P14" s="8">
        <v>3070694</v>
      </c>
      <c r="Q14" s="8">
        <v>3021589.5289334599</v>
      </c>
      <c r="R14" s="8">
        <v>2983720.8266702802</v>
      </c>
      <c r="S14" s="8">
        <v>2952926.4973573657</v>
      </c>
      <c r="T14" s="8">
        <v>2927541.9826534758</v>
      </c>
      <c r="U14" s="8">
        <v>2905486.5846320642</v>
      </c>
      <c r="V14" s="8">
        <v>2888424.8616343681</v>
      </c>
      <c r="W14" s="8">
        <v>2872195.4178072913</v>
      </c>
      <c r="X14" s="8">
        <v>2856382.1135655236</v>
      </c>
      <c r="Y14" s="8">
        <v>2840152.6697384468</v>
      </c>
      <c r="Z14" s="8">
        <v>2822674.8071554415</v>
      </c>
      <c r="AA14" s="8">
        <v>2802283.9674752676</v>
      </c>
      <c r="AB14" s="8">
        <v>2780644.7090391652</v>
      </c>
      <c r="AC14" s="8">
        <v>2758173.1714324434</v>
      </c>
      <c r="AD14" s="8">
        <v>2734453.2150697927</v>
      </c>
      <c r="AE14" s="8">
        <v>2709484.839951213</v>
      </c>
      <c r="AF14" s="8">
        <v>2684100.3252473236</v>
      </c>
      <c r="AG14" s="8">
        <v>2657883.5313728149</v>
      </c>
      <c r="AH14" s="8">
        <v>2631250.5979129965</v>
      </c>
      <c r="AI14" s="8">
        <v>2604201.5248678685</v>
      </c>
      <c r="AJ14" s="8">
        <v>2577152.45182274</v>
      </c>
      <c r="AK14" s="8">
        <v>2550519.5183629221</v>
      </c>
      <c r="AL14" s="8">
        <v>2523886.5849031033</v>
      </c>
      <c r="AM14" s="8">
        <v>2497669.7910285946</v>
      </c>
      <c r="AN14" s="8">
        <v>2471452.9971540859</v>
      </c>
      <c r="AO14" s="8">
        <v>2446068.4824501965</v>
      </c>
      <c r="AP14" s="8">
        <v>2421100.1073316168</v>
      </c>
      <c r="AQ14" s="8">
        <v>2396964.0113836564</v>
      </c>
      <c r="AR14" s="8">
        <v>2372827.915435696</v>
      </c>
      <c r="AS14" s="8">
        <v>2349107.9590730453</v>
      </c>
      <c r="AT14" s="8">
        <v>2325388.0027103941</v>
      </c>
      <c r="AU14" s="8">
        <v>2302500.3255183632</v>
      </c>
      <c r="AV14" s="8">
        <v>2279196.5087410216</v>
      </c>
      <c r="AW14" s="8">
        <v>2256308.8315489907</v>
      </c>
      <c r="AX14" s="8">
        <v>2233421.1543569588</v>
      </c>
      <c r="AY14" s="8">
        <v>2210533.4771649274</v>
      </c>
      <c r="AZ14" s="8">
        <v>2187229.6603875863</v>
      </c>
      <c r="BA14" s="8">
        <v>2163925.8436102453</v>
      </c>
      <c r="BB14" s="8">
        <v>2140205.8872475945</v>
      </c>
      <c r="BC14" s="8">
        <v>2115653.651714324</v>
      </c>
      <c r="BD14" s="8">
        <v>2091101.4161810542</v>
      </c>
      <c r="BE14" s="8">
        <v>2065716.9014771651</v>
      </c>
      <c r="BF14" s="8">
        <v>2039500.1076026561</v>
      </c>
      <c r="BG14" s="8">
        <v>2012451.0345575281</v>
      </c>
      <c r="BH14" s="8">
        <v>1984569.6823417807</v>
      </c>
      <c r="BI14" s="8">
        <v>1955856.0509554138</v>
      </c>
      <c r="BJ14" s="8">
        <v>1925894.0008131182</v>
      </c>
      <c r="BK14" s="8">
        <v>1894683.5319148935</v>
      </c>
      <c r="BL14" s="8">
        <v>1862224.6442607399</v>
      </c>
      <c r="BM14" s="8">
        <v>1828517.3378506575</v>
      </c>
      <c r="BN14" s="8">
        <v>1793145.4730993358</v>
      </c>
      <c r="BO14" s="8">
        <v>1756525.1895920855</v>
      </c>
      <c r="BP14" s="8">
        <v>1718240.3477435969</v>
      </c>
      <c r="BQ14" s="8">
        <v>1678290.9475538691</v>
      </c>
      <c r="BR14" s="8">
        <v>1636676.9890229027</v>
      </c>
      <c r="BS14" s="8">
        <v>1592982.3325653879</v>
      </c>
      <c r="BT14" s="8">
        <v>1547623.117766635</v>
      </c>
      <c r="BU14" s="8">
        <v>1500599.344626643</v>
      </c>
      <c r="BV14" s="8">
        <v>1451494.8735601029</v>
      </c>
      <c r="BW14" s="8">
        <v>1400309.7045670147</v>
      </c>
      <c r="BX14" s="8">
        <v>1347459.9772326874</v>
      </c>
      <c r="BY14" s="8">
        <v>1292945.6915571215</v>
      </c>
      <c r="BZ14" s="8">
        <v>1236350.7079550074</v>
      </c>
      <c r="CA14" s="8">
        <v>1178091.1660116548</v>
      </c>
      <c r="CB14" s="8">
        <v>1118167.0657270632</v>
      </c>
      <c r="CC14" s="8">
        <v>1056994.5466865429</v>
      </c>
      <c r="CD14" s="8">
        <v>994573.6088900934</v>
      </c>
      <c r="CE14" s="8">
        <v>930904.25233771512</v>
      </c>
      <c r="CF14" s="8">
        <v>866818.75620002719</v>
      </c>
      <c r="CG14" s="8">
        <v>802317.12047702936</v>
      </c>
      <c r="CH14" s="8">
        <v>737399.34516872198</v>
      </c>
      <c r="CI14" s="8">
        <v>673313.84903103404</v>
      </c>
      <c r="CJ14" s="8">
        <v>609644.49247865565</v>
      </c>
      <c r="CK14" s="8">
        <v>547223.55468220625</v>
      </c>
      <c r="CL14" s="8">
        <v>486883.31481230521</v>
      </c>
      <c r="CM14" s="8">
        <v>428623.77286895236</v>
      </c>
      <c r="CN14" s="8">
        <v>372861.06843745761</v>
      </c>
      <c r="CO14" s="8">
        <v>320427.48068844015</v>
      </c>
      <c r="CP14" s="8">
        <v>271739.14920720964</v>
      </c>
      <c r="CQ14" s="8">
        <v>227212.21357907576</v>
      </c>
      <c r="CR14" s="8">
        <v>186846.6738040385</v>
      </c>
      <c r="CS14" s="8">
        <v>151058.66946740748</v>
      </c>
      <c r="CT14" s="8">
        <v>119848.20056918282</v>
      </c>
      <c r="CU14" s="8">
        <v>92799.127524054755</v>
      </c>
      <c r="CV14" s="8">
        <v>70327.589917332967</v>
      </c>
      <c r="CW14" s="8">
        <v>52017.448163707821</v>
      </c>
      <c r="CX14" s="8">
        <v>37452.562677869631</v>
      </c>
      <c r="CY14" s="8">
        <v>26216.793874508745</v>
      </c>
      <c r="CZ14" s="8">
        <v>17061.722997696164</v>
      </c>
      <c r="DA14" s="8">
        <v>10819.629218051226</v>
      </c>
      <c r="DB14" s="8">
        <v>4993.6750237159504</v>
      </c>
      <c r="DC14" s="8">
        <v>2080.6979265483128</v>
      </c>
      <c r="DD14" s="8">
        <v>1248.4187559289876</v>
      </c>
      <c r="DE14" s="8">
        <v>416.13958530966261</v>
      </c>
      <c r="DF14" s="8">
        <v>0</v>
      </c>
    </row>
    <row r="15" spans="3:116">
      <c r="L15" s="8">
        <v>7</v>
      </c>
      <c r="M15" s="8">
        <v>0.71699999999999997</v>
      </c>
      <c r="N15" s="8">
        <f t="shared" si="0"/>
        <v>0.98746729100674846</v>
      </c>
      <c r="O15" s="8">
        <f t="shared" si="1"/>
        <v>0.98746729100674835</v>
      </c>
      <c r="P15" s="8">
        <v>630665.08154444594</v>
      </c>
      <c r="Q15" s="8">
        <v>622761.13960524416</v>
      </c>
      <c r="R15" s="8">
        <v>616333.75824809109</v>
      </c>
      <c r="S15" s="8">
        <v>611035.51145368104</v>
      </c>
      <c r="T15" s="8">
        <v>606432.11669788219</v>
      </c>
      <c r="U15" s="8">
        <v>602871</v>
      </c>
      <c r="V15" s="8">
        <v>599483.59631177061</v>
      </c>
      <c r="W15" s="8">
        <v>596183.04912836757</v>
      </c>
      <c r="X15" s="8">
        <v>592795.64544013818</v>
      </c>
      <c r="Y15" s="8">
        <v>589147.67223742965</v>
      </c>
      <c r="Z15" s="8">
        <v>584891.70350093639</v>
      </c>
      <c r="AA15" s="8">
        <v>580375.16524996387</v>
      </c>
      <c r="AB15" s="8">
        <v>575684.91398933856</v>
      </c>
      <c r="AC15" s="8">
        <v>570734.09321423422</v>
      </c>
      <c r="AD15" s="8">
        <v>565522.70292465063</v>
      </c>
      <c r="AE15" s="8">
        <v>560224.45613024058</v>
      </c>
      <c r="AF15" s="8">
        <v>554752.49632617773</v>
      </c>
      <c r="AG15" s="8">
        <v>549193.68001728843</v>
      </c>
      <c r="AH15" s="8">
        <v>543548.0072035729</v>
      </c>
      <c r="AI15" s="8">
        <v>537902.33438985725</v>
      </c>
      <c r="AJ15" s="8">
        <v>532343.51808096806</v>
      </c>
      <c r="AK15" s="8">
        <v>526784.70177207887</v>
      </c>
      <c r="AL15" s="8">
        <v>521312.74196801597</v>
      </c>
      <c r="AM15" s="8">
        <v>515840.78216395318</v>
      </c>
      <c r="AN15" s="8">
        <v>510542.53536954313</v>
      </c>
      <c r="AO15" s="8">
        <v>505331.14507995947</v>
      </c>
      <c r="AP15" s="8">
        <v>500293.46780002862</v>
      </c>
      <c r="AQ15" s="8">
        <v>495255.79052009783</v>
      </c>
      <c r="AR15" s="8">
        <v>490304.96974499332</v>
      </c>
      <c r="AS15" s="8">
        <v>485354.1489698888</v>
      </c>
      <c r="AT15" s="8">
        <v>480577.04120443721</v>
      </c>
      <c r="AU15" s="8">
        <v>475713.07693415909</v>
      </c>
      <c r="AV15" s="8">
        <v>470935.9691687075</v>
      </c>
      <c r="AW15" s="8">
        <v>466158.86140325578</v>
      </c>
      <c r="AX15" s="8">
        <v>461381.75363780418</v>
      </c>
      <c r="AY15" s="8">
        <v>456517.78936752607</v>
      </c>
      <c r="AZ15" s="8">
        <v>451653.82509724807</v>
      </c>
      <c r="BA15" s="8">
        <v>446703.00432214356</v>
      </c>
      <c r="BB15" s="8">
        <v>441578.47053738631</v>
      </c>
      <c r="BC15" s="8">
        <v>436453.93675262906</v>
      </c>
      <c r="BD15" s="8">
        <v>431155.68995821907</v>
      </c>
      <c r="BE15" s="8">
        <v>425683.73015415622</v>
      </c>
      <c r="BF15" s="8">
        <v>420038.05734044063</v>
      </c>
      <c r="BG15" s="8">
        <v>414218.67151707225</v>
      </c>
      <c r="BH15" s="8">
        <v>408225.57268405106</v>
      </c>
      <c r="BI15" s="8">
        <v>401971.90433655074</v>
      </c>
      <c r="BJ15" s="8">
        <v>395457.66647457122</v>
      </c>
      <c r="BK15" s="8">
        <v>388682.8590981125</v>
      </c>
      <c r="BL15" s="8">
        <v>381647.48220717459</v>
      </c>
      <c r="BM15" s="8">
        <v>374264.67929693108</v>
      </c>
      <c r="BN15" s="8">
        <v>366621.30687220837</v>
      </c>
      <c r="BO15" s="8">
        <v>358630.50842818012</v>
      </c>
      <c r="BP15" s="8">
        <v>350292.28396484634</v>
      </c>
      <c r="BQ15" s="8">
        <v>341606.63348220696</v>
      </c>
      <c r="BR15" s="8">
        <v>332486.70047543559</v>
      </c>
      <c r="BS15" s="8">
        <v>323019.34144935868</v>
      </c>
      <c r="BT15" s="8">
        <v>313204.55640397617</v>
      </c>
      <c r="BU15" s="8">
        <v>302955.48883446172</v>
      </c>
      <c r="BV15" s="8">
        <v>292272.13874081528</v>
      </c>
      <c r="BW15" s="8">
        <v>281241.36262786324</v>
      </c>
      <c r="BX15" s="8">
        <v>269863.16049560567</v>
      </c>
      <c r="BY15" s="8">
        <v>258050.6758392161</v>
      </c>
      <c r="BZ15" s="8">
        <v>245890.76516352099</v>
      </c>
      <c r="CA15" s="8">
        <v>233383.42846852026</v>
      </c>
      <c r="CB15" s="8">
        <v>220615.52225904036</v>
      </c>
      <c r="CC15" s="8">
        <v>207587.04653508126</v>
      </c>
      <c r="CD15" s="8">
        <v>194298.00129664302</v>
      </c>
      <c r="CE15" s="8">
        <v>180922.09955337839</v>
      </c>
      <c r="CF15" s="8">
        <v>167459.34130528732</v>
      </c>
      <c r="CG15" s="8">
        <v>153909.72655236989</v>
      </c>
      <c r="CH15" s="8">
        <v>140533.82480910525</v>
      </c>
      <c r="CI15" s="8">
        <v>127244.77957066699</v>
      </c>
      <c r="CJ15" s="8">
        <v>114216.30384670792</v>
      </c>
      <c r="CK15" s="8">
        <v>101622.11064688081</v>
      </c>
      <c r="CL15" s="8">
        <v>89462.199971185662</v>
      </c>
      <c r="CM15" s="8">
        <v>77823.428324448891</v>
      </c>
      <c r="CN15" s="8">
        <v>66879.508716323267</v>
      </c>
      <c r="CO15" s="8">
        <v>56717.297651635185</v>
      </c>
      <c r="CP15" s="8">
        <v>47423.651635211048</v>
      </c>
      <c r="CQ15" s="8">
        <v>38998.570667050844</v>
      </c>
      <c r="CR15" s="8">
        <v>31528.911251980968</v>
      </c>
      <c r="CS15" s="8">
        <v>25014.67339000143</v>
      </c>
      <c r="CT15" s="8">
        <v>19369.000576285831</v>
      </c>
      <c r="CU15" s="8">
        <v>14678.749315660561</v>
      </c>
      <c r="CV15" s="8">
        <v>10857.063103299233</v>
      </c>
      <c r="CW15" s="8">
        <v>7817.0854343754472</v>
      </c>
      <c r="CX15" s="8">
        <v>5471.9598040628134</v>
      </c>
      <c r="CY15" s="8">
        <v>3561.1166978821489</v>
      </c>
      <c r="CZ15" s="8">
        <v>2258.2691254862402</v>
      </c>
      <c r="DA15" s="8">
        <v>1042.2780579167263</v>
      </c>
      <c r="DB15" s="8">
        <v>434.28252413196935</v>
      </c>
      <c r="DC15" s="8">
        <v>260.56951447918158</v>
      </c>
      <c r="DD15" s="8">
        <v>86.856504826393873</v>
      </c>
      <c r="DE15" s="8">
        <v>0</v>
      </c>
    </row>
    <row r="16" spans="3:116">
      <c r="C16" s="8">
        <f>1788-L16</f>
        <v>1781</v>
      </c>
      <c r="D16" s="8">
        <v>331640</v>
      </c>
      <c r="E16" s="8">
        <v>2743788</v>
      </c>
      <c r="F16" s="8">
        <v>2939890.6139650187</v>
      </c>
      <c r="G16" s="8">
        <v>2923371.9950420056</v>
      </c>
      <c r="H16" s="8">
        <v>2907276.9304503514</v>
      </c>
      <c r="I16" s="8">
        <f>F16/E16</f>
        <v>1.071471489038154</v>
      </c>
      <c r="J16" s="8">
        <f>G16/E16</f>
        <v>1.0654511190522029</v>
      </c>
      <c r="K16" s="8">
        <f>H16/E16</f>
        <v>1.0595851175274298</v>
      </c>
      <c r="L16" s="8">
        <v>7</v>
      </c>
      <c r="M16" s="8">
        <v>0.71699999999999997</v>
      </c>
      <c r="N16" s="8">
        <f t="shared" si="0"/>
        <v>0.98746729100674824</v>
      </c>
      <c r="O16" s="8">
        <f t="shared" si="1"/>
        <v>1</v>
      </c>
      <c r="P16" s="8">
        <v>3075428</v>
      </c>
      <c r="Q16" s="8">
        <v>3036884.5558463018</v>
      </c>
      <c r="R16" s="8">
        <v>3005541.535325713</v>
      </c>
      <c r="S16" s="8">
        <v>2979704.7211127947</v>
      </c>
      <c r="T16" s="8">
        <v>2957256.3415507511</v>
      </c>
      <c r="U16" s="8">
        <v>2939890.6139650187</v>
      </c>
      <c r="V16" s="8">
        <v>2923371.9950420056</v>
      </c>
      <c r="W16" s="8">
        <v>2907276.9304503514</v>
      </c>
      <c r="X16" s="8">
        <v>2890758.3115273379</v>
      </c>
      <c r="Y16" s="8">
        <v>2872969.0296102464</v>
      </c>
      <c r="Z16" s="8">
        <v>2852214.8673736402</v>
      </c>
      <c r="AA16" s="8">
        <v>2830190.0421429556</v>
      </c>
      <c r="AB16" s="8">
        <v>2807318.1082495521</v>
      </c>
      <c r="AC16" s="8">
        <v>2783175.5113620716</v>
      </c>
      <c r="AD16" s="8">
        <v>2757762.2514805123</v>
      </c>
      <c r="AE16" s="8">
        <v>2731925.437267594</v>
      </c>
      <c r="AF16" s="8">
        <v>2705241.5143919573</v>
      </c>
      <c r="AG16" s="8">
        <v>2678134.0371849607</v>
      </c>
      <c r="AH16" s="8">
        <v>2650603.005646605</v>
      </c>
      <c r="AI16" s="8">
        <v>2623071.9741082494</v>
      </c>
      <c r="AJ16" s="8">
        <v>2595964.4969012532</v>
      </c>
      <c r="AK16" s="8">
        <v>2568857.0196942575</v>
      </c>
      <c r="AL16" s="8">
        <v>2542173.0968186199</v>
      </c>
      <c r="AM16" s="8">
        <v>2515489.1739429832</v>
      </c>
      <c r="AN16" s="8">
        <v>2489652.3597300649</v>
      </c>
      <c r="AO16" s="8">
        <v>2464239.099848506</v>
      </c>
      <c r="AP16" s="8">
        <v>2439672.9486296652</v>
      </c>
      <c r="AQ16" s="8">
        <v>2415106.7974108253</v>
      </c>
      <c r="AR16" s="8">
        <v>2390964.2005233439</v>
      </c>
      <c r="AS16" s="8">
        <v>2366821.6036358629</v>
      </c>
      <c r="AT16" s="8">
        <v>2343526.1154111004</v>
      </c>
      <c r="AU16" s="8">
        <v>2319807.0728549785</v>
      </c>
      <c r="AV16" s="8">
        <v>2296511.5846302165</v>
      </c>
      <c r="AW16" s="8">
        <v>2273216.0964054535</v>
      </c>
      <c r="AX16" s="8">
        <v>2249920.6081806915</v>
      </c>
      <c r="AY16" s="8">
        <v>2226201.5656245695</v>
      </c>
      <c r="AZ16" s="8">
        <v>2202482.5230684481</v>
      </c>
      <c r="BA16" s="8">
        <v>2178339.9261809667</v>
      </c>
      <c r="BB16" s="8">
        <v>2153350.2206307668</v>
      </c>
      <c r="BC16" s="8">
        <v>2128360.5150805674</v>
      </c>
      <c r="BD16" s="8">
        <v>2102523.7008676492</v>
      </c>
      <c r="BE16" s="8">
        <v>2075839.777992012</v>
      </c>
      <c r="BF16" s="8">
        <v>2048308.7464536566</v>
      </c>
      <c r="BG16" s="8">
        <v>2019930.6062525825</v>
      </c>
      <c r="BH16" s="8">
        <v>1990705.3573887893</v>
      </c>
      <c r="BI16" s="8">
        <v>1960209.4455309187</v>
      </c>
      <c r="BJ16" s="8">
        <v>1928442.8706789699</v>
      </c>
      <c r="BK16" s="8">
        <v>1895405.6328329432</v>
      </c>
      <c r="BL16" s="8">
        <v>1861097.7319928384</v>
      </c>
      <c r="BM16" s="8">
        <v>1825095.6138272965</v>
      </c>
      <c r="BN16" s="8">
        <v>1787822.8326676765</v>
      </c>
      <c r="BO16" s="8">
        <v>1748855.8341826196</v>
      </c>
      <c r="BP16" s="8">
        <v>1708194.6183721251</v>
      </c>
      <c r="BQ16" s="8">
        <v>1665839.1852361935</v>
      </c>
      <c r="BR16" s="8">
        <v>1621365.9804434651</v>
      </c>
      <c r="BS16" s="8">
        <v>1575198.5583252998</v>
      </c>
      <c r="BT16" s="8">
        <v>1527336.9188816966</v>
      </c>
      <c r="BU16" s="8">
        <v>1477357.5077812974</v>
      </c>
      <c r="BV16" s="8">
        <v>1425260.3250241017</v>
      </c>
      <c r="BW16" s="8">
        <v>1371468.9249414681</v>
      </c>
      <c r="BX16" s="8">
        <v>1315983.3075333976</v>
      </c>
      <c r="BY16" s="8">
        <v>1258379.9184685305</v>
      </c>
      <c r="BZ16" s="8">
        <v>1199082.3120782261</v>
      </c>
      <c r="CA16" s="8">
        <v>1138090.4883624844</v>
      </c>
      <c r="CB16" s="8">
        <v>1075828.001652665</v>
      </c>
      <c r="CC16" s="8">
        <v>1012294.8519487674</v>
      </c>
      <c r="CD16" s="8">
        <v>947491.039250792</v>
      </c>
      <c r="CE16" s="8">
        <v>882263.67222145712</v>
      </c>
      <c r="CF16" s="8">
        <v>816612.7508607629</v>
      </c>
      <c r="CG16" s="8">
        <v>750538.27516870969</v>
      </c>
      <c r="CH16" s="8">
        <v>685310.90813937481</v>
      </c>
      <c r="CI16" s="8">
        <v>620507.09544139926</v>
      </c>
      <c r="CJ16" s="8">
        <v>556973.94573750172</v>
      </c>
      <c r="CK16" s="8">
        <v>495558.56769040081</v>
      </c>
      <c r="CL16" s="8">
        <v>436260.96130009642</v>
      </c>
      <c r="CM16" s="8">
        <v>379504.68089794792</v>
      </c>
      <c r="CN16" s="8">
        <v>326136.83514667401</v>
      </c>
      <c r="CO16" s="8">
        <v>276580.97837763396</v>
      </c>
      <c r="CP16" s="8">
        <v>231260.66492218705</v>
      </c>
      <c r="CQ16" s="8">
        <v>190175.89478033333</v>
      </c>
      <c r="CR16" s="8">
        <v>153750.22228343203</v>
      </c>
      <c r="CS16" s="8">
        <v>121983.64743148326</v>
      </c>
      <c r="CT16" s="8">
        <v>94452.615893127673</v>
      </c>
      <c r="CU16" s="8">
        <v>71580.681999724547</v>
      </c>
      <c r="CV16" s="8">
        <v>52944.291419914611</v>
      </c>
      <c r="CW16" s="8">
        <v>38119.889822338519</v>
      </c>
      <c r="CX16" s="8">
        <v>26683.922875636967</v>
      </c>
      <c r="CY16" s="8">
        <v>17365.727585731995</v>
      </c>
      <c r="CZ16" s="8">
        <v>11012.41261534224</v>
      </c>
      <c r="DA16" s="8">
        <v>5082.6519763118031</v>
      </c>
      <c r="DB16" s="8">
        <v>2117.7716567965845</v>
      </c>
      <c r="DC16" s="8">
        <v>1270.6629940779508</v>
      </c>
      <c r="DD16" s="8">
        <v>423.5543313593169</v>
      </c>
    </row>
    <row r="17" spans="3:108">
      <c r="L17" s="8">
        <v>8</v>
      </c>
      <c r="M17" s="8">
        <v>0.70960000000000001</v>
      </c>
      <c r="N17" s="8">
        <f t="shared" si="0"/>
        <v>0.98967921896792188</v>
      </c>
      <c r="O17" s="8">
        <f t="shared" si="1"/>
        <v>0.98967921896792199</v>
      </c>
      <c r="P17" s="8">
        <v>6522006.3155607078</v>
      </c>
      <c r="Q17" s="8">
        <v>6454694.1164879752</v>
      </c>
      <c r="R17" s="8">
        <v>6399207.0334685603</v>
      </c>
      <c r="S17" s="8">
        <v>6350996.9449434951</v>
      </c>
      <c r="T17" s="8">
        <v>6313702.348159954</v>
      </c>
      <c r="U17" s="8">
        <v>6278227</v>
      </c>
      <c r="V17" s="8">
        <v>6243661.2761518396</v>
      </c>
      <c r="W17" s="8">
        <v>6208185.9279918857</v>
      </c>
      <c r="X17" s="8">
        <v>6169981.706896551</v>
      </c>
      <c r="Y17" s="8">
        <v>6125410.1156186601</v>
      </c>
      <c r="Z17" s="8">
        <v>6078109.6514053885</v>
      </c>
      <c r="AA17" s="8">
        <v>6028989.9385685287</v>
      </c>
      <c r="AB17" s="8">
        <v>5977141.3527962891</v>
      </c>
      <c r="AC17" s="8">
        <v>5922563.8940886678</v>
      </c>
      <c r="AD17" s="8">
        <v>5867076.8110692529</v>
      </c>
      <c r="AE17" s="8">
        <v>5809770.4794262508</v>
      </c>
      <c r="AF17" s="8">
        <v>5751554.5234714542</v>
      </c>
      <c r="AG17" s="8">
        <v>5692428.9432048649</v>
      </c>
      <c r="AH17" s="8">
        <v>5633303.3629382746</v>
      </c>
      <c r="AI17" s="8">
        <v>5575087.4069834789</v>
      </c>
      <c r="AJ17" s="8">
        <v>5516871.4510286832</v>
      </c>
      <c r="AK17" s="8">
        <v>5459565.1193856802</v>
      </c>
      <c r="AL17" s="8">
        <v>5402258.7877426781</v>
      </c>
      <c r="AM17" s="8">
        <v>5346771.7047232632</v>
      </c>
      <c r="AN17" s="8">
        <v>5292194.2460156418</v>
      </c>
      <c r="AO17" s="8">
        <v>5239436.0359316077</v>
      </c>
      <c r="AP17" s="8">
        <v>5186677.8258475745</v>
      </c>
      <c r="AQ17" s="8">
        <v>5134829.240075334</v>
      </c>
      <c r="AR17" s="8">
        <v>5082980.6543030934</v>
      </c>
      <c r="AS17" s="8">
        <v>5032951.317154441</v>
      </c>
      <c r="AT17" s="8">
        <v>4982012.3556939941</v>
      </c>
      <c r="AU17" s="8">
        <v>4931983.0185453417</v>
      </c>
      <c r="AV17" s="8">
        <v>4881953.6813966883</v>
      </c>
      <c r="AW17" s="8">
        <v>4831924.3442480359</v>
      </c>
      <c r="AX17" s="8">
        <v>4780985.382787589</v>
      </c>
      <c r="AY17" s="8">
        <v>4730046.421327143</v>
      </c>
      <c r="AZ17" s="8">
        <v>4678197.8355549024</v>
      </c>
      <c r="BA17" s="8">
        <v>4624530.0011590747</v>
      </c>
      <c r="BB17" s="8">
        <v>4570862.166763247</v>
      </c>
      <c r="BC17" s="8">
        <v>4515375.083743833</v>
      </c>
      <c r="BD17" s="8">
        <v>4458068.7521008309</v>
      </c>
      <c r="BE17" s="8">
        <v>4398943.1718342416</v>
      </c>
      <c r="BF17" s="8">
        <v>4337998.3429440651</v>
      </c>
      <c r="BG17" s="8">
        <v>4275234.2654303005</v>
      </c>
      <c r="BH17" s="8">
        <v>4209741.314981156</v>
      </c>
      <c r="BI17" s="8">
        <v>4141519.4915966298</v>
      </c>
      <c r="BJ17" s="8">
        <v>4070568.7952767229</v>
      </c>
      <c r="BK17" s="8">
        <v>3996889.2260214346</v>
      </c>
      <c r="BL17" s="8">
        <v>3919571.1595189716</v>
      </c>
      <c r="BM17" s="8">
        <v>3839524.2200811272</v>
      </c>
      <c r="BN17" s="8">
        <v>3755838.7833961085</v>
      </c>
      <c r="BO17" s="8">
        <v>3668514.849463915</v>
      </c>
      <c r="BP17" s="8">
        <v>3577552.4182845466</v>
      </c>
      <c r="BQ17" s="8">
        <v>3482041.8655462102</v>
      </c>
      <c r="BR17" s="8">
        <v>3382892.8155606994</v>
      </c>
      <c r="BS17" s="8">
        <v>3280105.2683280134</v>
      </c>
      <c r="BT17" s="8">
        <v>3172769.5995363593</v>
      </c>
      <c r="BU17" s="8">
        <v>3060885.8091857368</v>
      </c>
      <c r="BV17" s="8">
        <v>2945363.521587939</v>
      </c>
      <c r="BW17" s="8">
        <v>2826202.7367429668</v>
      </c>
      <c r="BX17" s="8">
        <v>2702493.8303390262</v>
      </c>
      <c r="BY17" s="8">
        <v>2575146.4266879112</v>
      </c>
      <c r="BZ17" s="8">
        <v>2444160.5257896208</v>
      </c>
      <c r="CA17" s="8">
        <v>2310445.7519559497</v>
      </c>
      <c r="CB17" s="8">
        <v>2174002.1051868973</v>
      </c>
      <c r="CC17" s="8">
        <v>2034829.5854824644</v>
      </c>
      <c r="CD17" s="8">
        <v>1894747.4414662377</v>
      </c>
      <c r="CE17" s="8">
        <v>1753755.6731382171</v>
      </c>
      <c r="CF17" s="8">
        <v>1611854.2804984029</v>
      </c>
      <c r="CG17" s="8">
        <v>1471772.1364821761</v>
      </c>
      <c r="CH17" s="8">
        <v>1332599.6167777427</v>
      </c>
      <c r="CI17" s="8">
        <v>1196155.9700086906</v>
      </c>
      <c r="CJ17" s="8">
        <v>1064260.4447986069</v>
      </c>
      <c r="CK17" s="8">
        <v>936913.04114749143</v>
      </c>
      <c r="CL17" s="8">
        <v>815023.38336713822</v>
      </c>
      <c r="CM17" s="8">
        <v>700410.72008113435</v>
      </c>
      <c r="CN17" s="8">
        <v>593984.67560127366</v>
      </c>
      <c r="CO17" s="8">
        <v>496654.87423934985</v>
      </c>
      <c r="CP17" s="8">
        <v>408421.31599536282</v>
      </c>
      <c r="CQ17" s="8">
        <v>330193.62518110621</v>
      </c>
      <c r="CR17" s="8">
        <v>261971.80179658014</v>
      </c>
      <c r="CS17" s="8">
        <v>202846.22152999087</v>
      </c>
      <c r="CT17" s="8">
        <v>153726.50869313208</v>
      </c>
      <c r="CU17" s="8">
        <v>113703.03897421014</v>
      </c>
      <c r="CV17" s="8">
        <v>81866.188061431283</v>
      </c>
      <c r="CW17" s="8">
        <v>57306.331643001904</v>
      </c>
      <c r="CX17" s="8">
        <v>37294.596783540925</v>
      </c>
      <c r="CY17" s="8">
        <v>23650.232106635704</v>
      </c>
      <c r="CZ17" s="8">
        <v>10915.491741524171</v>
      </c>
      <c r="DA17" s="8">
        <v>4548.1215589684052</v>
      </c>
      <c r="DB17" s="8">
        <v>2728.8729353810427</v>
      </c>
      <c r="DC17" s="8">
        <v>909.62431179368104</v>
      </c>
    </row>
    <row r="18" spans="3:108">
      <c r="C18" s="8">
        <f>1788-L18</f>
        <v>1780</v>
      </c>
      <c r="D18" s="8">
        <v>466691</v>
      </c>
      <c r="E18" s="8">
        <v>2425040</v>
      </c>
      <c r="F18" s="8">
        <v>2783643.9835425387</v>
      </c>
      <c r="G18" s="8">
        <v>2768318.2126000002</v>
      </c>
      <c r="H18" s="8">
        <v>2752589.1317991633</v>
      </c>
      <c r="I18" s="8">
        <f>F18/E18</f>
        <v>1.1478754921743719</v>
      </c>
      <c r="J18" s="8">
        <f>G18/E18</f>
        <v>1.141555690875202</v>
      </c>
      <c r="K18" s="8">
        <f>H18/E18</f>
        <v>1.135069578975672</v>
      </c>
      <c r="L18" s="8">
        <v>8</v>
      </c>
      <c r="M18" s="8">
        <v>0.70960000000000001</v>
      </c>
      <c r="N18" s="8">
        <f t="shared" si="0"/>
        <v>0.98967921896792188</v>
      </c>
      <c r="O18" s="8">
        <f t="shared" si="1"/>
        <v>1</v>
      </c>
      <c r="P18" s="8">
        <v>2891731</v>
      </c>
      <c r="Q18" s="8">
        <v>2861886.0775453276</v>
      </c>
      <c r="R18" s="8">
        <v>2837284.1820083684</v>
      </c>
      <c r="S18" s="8">
        <v>2815908.7645746167</v>
      </c>
      <c r="T18" s="8">
        <v>2799373.064295677</v>
      </c>
      <c r="U18" s="8">
        <v>2783643.9835425387</v>
      </c>
      <c r="V18" s="8">
        <v>2768318.2125523016</v>
      </c>
      <c r="W18" s="8">
        <v>2752589.1317991633</v>
      </c>
      <c r="X18" s="8">
        <v>2735650.1217573225</v>
      </c>
      <c r="Y18" s="8">
        <v>2715887.9433751744</v>
      </c>
      <c r="Z18" s="8">
        <v>2694915.8357043238</v>
      </c>
      <c r="AA18" s="8">
        <v>2673137.1085076709</v>
      </c>
      <c r="AB18" s="8">
        <v>2650148.4520223155</v>
      </c>
      <c r="AC18" s="8">
        <v>2625949.866248257</v>
      </c>
      <c r="AD18" s="8">
        <v>2601347.9707112974</v>
      </c>
      <c r="AE18" s="8">
        <v>2575939.4556485359</v>
      </c>
      <c r="AF18" s="8">
        <v>2550127.6308228732</v>
      </c>
      <c r="AG18" s="8">
        <v>2523912.4962343099</v>
      </c>
      <c r="AH18" s="8">
        <v>2497697.361645746</v>
      </c>
      <c r="AI18" s="8">
        <v>2471885.5368200839</v>
      </c>
      <c r="AJ18" s="8">
        <v>2446073.7119944217</v>
      </c>
      <c r="AK18" s="8">
        <v>2420665.1969316597</v>
      </c>
      <c r="AL18" s="8">
        <v>2395256.6818688982</v>
      </c>
      <c r="AM18" s="8">
        <v>2370654.7863319386</v>
      </c>
      <c r="AN18" s="8">
        <v>2346456.2005578801</v>
      </c>
      <c r="AO18" s="8">
        <v>2323064.2343096235</v>
      </c>
      <c r="AP18" s="8">
        <v>2299672.2680613673</v>
      </c>
      <c r="AQ18" s="8">
        <v>2276683.6115760114</v>
      </c>
      <c r="AR18" s="8">
        <v>2253694.9550906555</v>
      </c>
      <c r="AS18" s="8">
        <v>2231512.9181311019</v>
      </c>
      <c r="AT18" s="8">
        <v>2208927.5714086471</v>
      </c>
      <c r="AU18" s="8">
        <v>2186745.5344490935</v>
      </c>
      <c r="AV18" s="8">
        <v>2164563.4974895399</v>
      </c>
      <c r="AW18" s="8">
        <v>2142381.4605299863</v>
      </c>
      <c r="AX18" s="8">
        <v>2119796.1138075311</v>
      </c>
      <c r="AY18" s="8">
        <v>2097210.7670850768</v>
      </c>
      <c r="AZ18" s="8">
        <v>2074222.1105997211</v>
      </c>
      <c r="BA18" s="8">
        <v>2050426.8345885633</v>
      </c>
      <c r="BB18" s="8">
        <v>2026631.5585774058</v>
      </c>
      <c r="BC18" s="8">
        <v>2002029.6630404464</v>
      </c>
      <c r="BD18" s="8">
        <v>1976621.1479776849</v>
      </c>
      <c r="BE18" s="8">
        <v>1950406.0133891213</v>
      </c>
      <c r="BF18" s="8">
        <v>1923384.2592747558</v>
      </c>
      <c r="BG18" s="8">
        <v>1895555.8856345883</v>
      </c>
      <c r="BH18" s="8">
        <v>1866517.5827057182</v>
      </c>
      <c r="BI18" s="8">
        <v>1836269.3504881451</v>
      </c>
      <c r="BJ18" s="8">
        <v>1804811.188981869</v>
      </c>
      <c r="BK18" s="8">
        <v>1772143.0981868899</v>
      </c>
      <c r="BL18" s="8">
        <v>1737861.7683403068</v>
      </c>
      <c r="BM18" s="8">
        <v>1702370.5092050207</v>
      </c>
      <c r="BN18" s="8">
        <v>1665266.0110181312</v>
      </c>
      <c r="BO18" s="8">
        <v>1626548.2737796374</v>
      </c>
      <c r="BP18" s="8">
        <v>1586217.2974895397</v>
      </c>
      <c r="BQ18" s="8">
        <v>1543869.7723849372</v>
      </c>
      <c r="BR18" s="8">
        <v>1499909.0082287309</v>
      </c>
      <c r="BS18" s="8">
        <v>1454335.0050209204</v>
      </c>
      <c r="BT18" s="8">
        <v>1406744.4529986053</v>
      </c>
      <c r="BU18" s="8">
        <v>1357137.3521617854</v>
      </c>
      <c r="BV18" s="8">
        <v>1305917.0122733612</v>
      </c>
      <c r="BW18" s="8">
        <v>1253083.4333333333</v>
      </c>
      <c r="BX18" s="8">
        <v>1198233.3055788006</v>
      </c>
      <c r="BY18" s="8">
        <v>1141769.9387726639</v>
      </c>
      <c r="BZ18" s="8">
        <v>1083693.3329149233</v>
      </c>
      <c r="CA18" s="8">
        <v>1024406.7977684798</v>
      </c>
      <c r="CB18" s="8">
        <v>963910.33333333326</v>
      </c>
      <c r="CC18" s="8">
        <v>902203.93960948405</v>
      </c>
      <c r="CD18" s="8">
        <v>840094.23612273368</v>
      </c>
      <c r="CE18" s="8">
        <v>777581.22287308227</v>
      </c>
      <c r="CF18" s="8">
        <v>714664.89986053004</v>
      </c>
      <c r="CG18" s="8">
        <v>652555.19637377968</v>
      </c>
      <c r="CH18" s="8">
        <v>590848.80264993024</v>
      </c>
      <c r="CI18" s="8">
        <v>530352.33821478381</v>
      </c>
      <c r="CJ18" s="8">
        <v>471872.42259414226</v>
      </c>
      <c r="CK18" s="8">
        <v>415409.05578800559</v>
      </c>
      <c r="CL18" s="8">
        <v>361365.54755927477</v>
      </c>
      <c r="CM18" s="8">
        <v>310548.51743375178</v>
      </c>
      <c r="CN18" s="8">
        <v>263361.27517433756</v>
      </c>
      <c r="CO18" s="8">
        <v>220207.13054393308</v>
      </c>
      <c r="CP18" s="8">
        <v>181086.08354253837</v>
      </c>
      <c r="CQ18" s="8">
        <v>146401.4439330544</v>
      </c>
      <c r="CR18" s="8">
        <v>116153.21171548117</v>
      </c>
      <c r="CS18" s="8">
        <v>89938.07712691772</v>
      </c>
      <c r="CT18" s="8">
        <v>68159.349930264987</v>
      </c>
      <c r="CU18" s="8">
        <v>50413.720362622043</v>
      </c>
      <c r="CV18" s="8">
        <v>36297.878661087867</v>
      </c>
      <c r="CW18" s="8">
        <v>25408.515062761504</v>
      </c>
      <c r="CX18" s="8">
        <v>16535.700278940029</v>
      </c>
      <c r="CY18" s="8">
        <v>10486.053835425384</v>
      </c>
      <c r="CZ18" s="8">
        <v>4839.7171548117149</v>
      </c>
      <c r="DA18" s="8">
        <v>2016.5488145048816</v>
      </c>
      <c r="DB18" s="8">
        <v>1209.9292887029287</v>
      </c>
      <c r="DC18" s="8">
        <v>403.30976290097635</v>
      </c>
      <c r="DD18" s="8">
        <v>0</v>
      </c>
    </row>
    <row r="19" spans="3:108">
      <c r="L19" s="8">
        <v>9</v>
      </c>
      <c r="M19" s="8">
        <v>0.70350000000000001</v>
      </c>
      <c r="N19" s="8">
        <f t="shared" si="0"/>
        <v>0.99140360766629088</v>
      </c>
      <c r="O19" s="8">
        <f t="shared" si="1"/>
        <v>0.99140360766629088</v>
      </c>
      <c r="P19" s="8">
        <v>104413.75291375289</v>
      </c>
      <c r="Q19" s="8">
        <v>103516.17132867131</v>
      </c>
      <c r="R19" s="8">
        <v>102736.30536130535</v>
      </c>
      <c r="S19" s="8">
        <v>102133.01282051281</v>
      </c>
      <c r="T19" s="8">
        <v>101559.14918414918</v>
      </c>
      <c r="U19" s="8">
        <v>101000</v>
      </c>
      <c r="V19" s="8">
        <v>100426.13636363637</v>
      </c>
      <c r="W19" s="8">
        <v>99808.12937062938</v>
      </c>
      <c r="X19" s="8">
        <v>99087.121212121216</v>
      </c>
      <c r="Y19" s="8">
        <v>98321.969696969696</v>
      </c>
      <c r="Z19" s="8">
        <v>97527.389277389273</v>
      </c>
      <c r="AA19" s="8">
        <v>96688.665501165509</v>
      </c>
      <c r="AB19" s="8">
        <v>95805.798368298376</v>
      </c>
      <c r="AC19" s="8">
        <v>94908.216783216791</v>
      </c>
      <c r="AD19" s="8">
        <v>93981.206293706302</v>
      </c>
      <c r="AE19" s="8">
        <v>93039.481351981347</v>
      </c>
      <c r="AF19" s="8">
        <v>92083.041958041955</v>
      </c>
      <c r="AG19" s="8">
        <v>91126.602564102548</v>
      </c>
      <c r="AH19" s="8">
        <v>90184.877622377608</v>
      </c>
      <c r="AI19" s="8">
        <v>89243.152680652667</v>
      </c>
      <c r="AJ19" s="8">
        <v>88316.142191142164</v>
      </c>
      <c r="AK19" s="8">
        <v>87389.131701631675</v>
      </c>
      <c r="AL19" s="8">
        <v>86491.55011655009</v>
      </c>
      <c r="AM19" s="8">
        <v>85608.682983682957</v>
      </c>
      <c r="AN19" s="8">
        <v>84755.244755244727</v>
      </c>
      <c r="AO19" s="8">
        <v>83901.806526806511</v>
      </c>
      <c r="AP19" s="8">
        <v>83063.082750582733</v>
      </c>
      <c r="AQ19" s="8">
        <v>82224.358974358955</v>
      </c>
      <c r="AR19" s="8">
        <v>81415.064102564094</v>
      </c>
      <c r="AS19" s="8">
        <v>80591.054778554768</v>
      </c>
      <c r="AT19" s="8">
        <v>79781.759906759908</v>
      </c>
      <c r="AU19" s="8">
        <v>78972.465034965033</v>
      </c>
      <c r="AV19" s="8">
        <v>78163.170163170173</v>
      </c>
      <c r="AW19" s="8">
        <v>77339.160839160846</v>
      </c>
      <c r="AX19" s="8">
        <v>76515.151515151534</v>
      </c>
      <c r="AY19" s="8">
        <v>75676.427738927756</v>
      </c>
      <c r="AZ19" s="8">
        <v>74808.275058275074</v>
      </c>
      <c r="BA19" s="8">
        <v>73940.122377622392</v>
      </c>
      <c r="BB19" s="8">
        <v>73042.540792540822</v>
      </c>
      <c r="BC19" s="8">
        <v>72115.530303030333</v>
      </c>
      <c r="BD19" s="8">
        <v>71159.090909090941</v>
      </c>
      <c r="BE19" s="8">
        <v>70173.222610722645</v>
      </c>
      <c r="BF19" s="8">
        <v>69157.925407925446</v>
      </c>
      <c r="BG19" s="8">
        <v>68098.484848484892</v>
      </c>
      <c r="BH19" s="8">
        <v>66994.900932400968</v>
      </c>
      <c r="BI19" s="8">
        <v>65847.173659673703</v>
      </c>
      <c r="BJ19" s="8">
        <v>64655.303030303076</v>
      </c>
      <c r="BK19" s="8">
        <v>63404.574592074634</v>
      </c>
      <c r="BL19" s="8">
        <v>62109.702797202837</v>
      </c>
      <c r="BM19" s="8">
        <v>60755.973193473234</v>
      </c>
      <c r="BN19" s="8">
        <v>59343.385780885823</v>
      </c>
      <c r="BO19" s="8">
        <v>57871.940559440598</v>
      </c>
      <c r="BP19" s="8">
        <v>56326.923076923114</v>
      </c>
      <c r="BQ19" s="8">
        <v>54723.047785547824</v>
      </c>
      <c r="BR19" s="8">
        <v>53060.314685314719</v>
      </c>
      <c r="BS19" s="8">
        <v>51324.009324009363</v>
      </c>
      <c r="BT19" s="8">
        <v>49514.131701631741</v>
      </c>
      <c r="BU19" s="8">
        <v>47645.396270396304</v>
      </c>
      <c r="BV19" s="8">
        <v>45717.803030303061</v>
      </c>
      <c r="BW19" s="8">
        <v>43716.637529137559</v>
      </c>
      <c r="BX19" s="8">
        <v>41656.614219114257</v>
      </c>
      <c r="BY19" s="8">
        <v>39537.733100233134</v>
      </c>
      <c r="BZ19" s="8">
        <v>37374.708624708655</v>
      </c>
      <c r="CA19" s="8">
        <v>35167.540792540822</v>
      </c>
      <c r="CB19" s="8">
        <v>32916.229603729633</v>
      </c>
      <c r="CC19" s="8">
        <v>30650.203962703989</v>
      </c>
      <c r="CD19" s="8">
        <v>28369.463869463892</v>
      </c>
      <c r="CE19" s="8">
        <v>26074.009324009345</v>
      </c>
      <c r="CF19" s="8">
        <v>23807.983682983704</v>
      </c>
      <c r="CG19" s="8">
        <v>21556.672494172512</v>
      </c>
      <c r="CH19" s="8">
        <v>19349.504662004678</v>
      </c>
      <c r="CI19" s="8">
        <v>17215.909090909106</v>
      </c>
      <c r="CJ19" s="8">
        <v>15155.885780885792</v>
      </c>
      <c r="CK19" s="8">
        <v>13184.149184149195</v>
      </c>
      <c r="CL19" s="8">
        <v>11330.128205128214</v>
      </c>
      <c r="CM19" s="8">
        <v>9608.5372960373043</v>
      </c>
      <c r="CN19" s="8">
        <v>8034.0909090909172</v>
      </c>
      <c r="CO19" s="8">
        <v>6606.7890442890512</v>
      </c>
      <c r="CP19" s="8">
        <v>5341.3461538461588</v>
      </c>
      <c r="CQ19" s="8">
        <v>4237.762237762242</v>
      </c>
      <c r="CR19" s="8">
        <v>3281.3228438228471</v>
      </c>
      <c r="CS19" s="8">
        <v>2486.7424242424263</v>
      </c>
      <c r="CT19" s="8">
        <v>1839.3065268065286</v>
      </c>
      <c r="CU19" s="8">
        <v>1324.3006993007004</v>
      </c>
      <c r="CV19" s="8">
        <v>927.0104895104904</v>
      </c>
      <c r="CW19" s="8">
        <v>603.29254079254144</v>
      </c>
      <c r="CX19" s="8">
        <v>382.57575757575796</v>
      </c>
      <c r="CY19" s="8">
        <v>176.57342657342676</v>
      </c>
      <c r="CZ19" s="8">
        <v>73.572261072261156</v>
      </c>
      <c r="DA19" s="8">
        <v>44.14335664335669</v>
      </c>
      <c r="DB19" s="8">
        <v>14.714452214452232</v>
      </c>
      <c r="DC19" s="8">
        <v>0</v>
      </c>
    </row>
    <row r="20" spans="3:108">
      <c r="C20" s="8">
        <f>1788-L20</f>
        <v>1779</v>
      </c>
      <c r="D20" s="8">
        <v>60470</v>
      </c>
      <c r="E20" s="8">
        <v>3211412</v>
      </c>
      <c r="F20" s="8">
        <v>3164909.5332581736</v>
      </c>
      <c r="G20" s="8">
        <v>3146927.0927282972</v>
      </c>
      <c r="H20" s="8">
        <v>3127561.3875422771</v>
      </c>
      <c r="I20" s="8">
        <f>F20/E20</f>
        <v>0.98551961979907077</v>
      </c>
      <c r="J20" s="8">
        <f>G20/E20</f>
        <v>0.97992007650475776</v>
      </c>
      <c r="K20" s="8">
        <f>H20/E20</f>
        <v>0.97388979911088236</v>
      </c>
      <c r="L20" s="8">
        <v>9</v>
      </c>
      <c r="M20" s="8">
        <v>0.70350000000000001</v>
      </c>
      <c r="N20" s="8">
        <f t="shared" si="0"/>
        <v>0.99140360766629088</v>
      </c>
      <c r="O20" s="8">
        <f t="shared" si="1"/>
        <v>1</v>
      </c>
      <c r="P20" s="8">
        <v>3271882</v>
      </c>
      <c r="Q20" s="8">
        <v>3243755.6186583992</v>
      </c>
      <c r="R20" s="8">
        <v>3219317.9430665169</v>
      </c>
      <c r="S20" s="8">
        <v>3200413.3260992109</v>
      </c>
      <c r="T20" s="8">
        <v>3182430.885569335</v>
      </c>
      <c r="U20" s="8">
        <v>3164909.5332581736</v>
      </c>
      <c r="V20" s="8">
        <v>3146927.0927282972</v>
      </c>
      <c r="W20" s="8">
        <v>3127561.3875422771</v>
      </c>
      <c r="X20" s="8">
        <v>3104968.0648252536</v>
      </c>
      <c r="Y20" s="8">
        <v>3080991.4774520854</v>
      </c>
      <c r="Z20" s="8">
        <v>3056092.713641488</v>
      </c>
      <c r="AA20" s="8">
        <v>3029810.6851747464</v>
      </c>
      <c r="AB20" s="8">
        <v>3002145.3920518602</v>
      </c>
      <c r="AC20" s="8">
        <v>2974019.0107102594</v>
      </c>
      <c r="AD20" s="8">
        <v>2944970.452931229</v>
      </c>
      <c r="AE20" s="8">
        <v>2915460.8069334836</v>
      </c>
      <c r="AF20" s="8">
        <v>2885490.0727170235</v>
      </c>
      <c r="AG20" s="8">
        <v>2855519.3385005635</v>
      </c>
      <c r="AH20" s="8">
        <v>2826009.6925028185</v>
      </c>
      <c r="AI20" s="8">
        <v>2796500.0465050736</v>
      </c>
      <c r="AJ20" s="8">
        <v>2767451.4887260427</v>
      </c>
      <c r="AK20" s="8">
        <v>2738402.9309470123</v>
      </c>
      <c r="AL20" s="8">
        <v>2710276.5496054115</v>
      </c>
      <c r="AM20" s="8">
        <v>2682611.2564825253</v>
      </c>
      <c r="AN20" s="8">
        <v>2655868.1397970687</v>
      </c>
      <c r="AO20" s="8">
        <v>2629125.0231116125</v>
      </c>
      <c r="AP20" s="8">
        <v>2602842.9946448701</v>
      </c>
      <c r="AQ20" s="8">
        <v>2576560.9661781285</v>
      </c>
      <c r="AR20" s="8">
        <v>2551201.1141488161</v>
      </c>
      <c r="AS20" s="8">
        <v>2525380.1739007891</v>
      </c>
      <c r="AT20" s="8">
        <v>2500020.3218714767</v>
      </c>
      <c r="AU20" s="8">
        <v>2474660.4698421643</v>
      </c>
      <c r="AV20" s="8">
        <v>2449300.6178128524</v>
      </c>
      <c r="AW20" s="8">
        <v>2423479.6775648249</v>
      </c>
      <c r="AX20" s="8">
        <v>2397658.7373167984</v>
      </c>
      <c r="AY20" s="8">
        <v>2371376.7088500564</v>
      </c>
      <c r="AZ20" s="8">
        <v>2344172.5039458848</v>
      </c>
      <c r="BA20" s="8">
        <v>2316968.2990417136</v>
      </c>
      <c r="BB20" s="8">
        <v>2288841.9177001128</v>
      </c>
      <c r="BC20" s="8">
        <v>2259793.3599210819</v>
      </c>
      <c r="BD20" s="8">
        <v>2229822.6257046224</v>
      </c>
      <c r="BE20" s="8">
        <v>2198929.7150507327</v>
      </c>
      <c r="BF20" s="8">
        <v>2167114.6279594135</v>
      </c>
      <c r="BG20" s="8">
        <v>2133916.2762119505</v>
      </c>
      <c r="BH20" s="8">
        <v>2099334.6598083428</v>
      </c>
      <c r="BI20" s="8">
        <v>2063369.7787485907</v>
      </c>
      <c r="BJ20" s="8">
        <v>2026021.6330326945</v>
      </c>
      <c r="BK20" s="8">
        <v>1986829.1344419392</v>
      </c>
      <c r="BL20" s="8">
        <v>1946253.3711950392</v>
      </c>
      <c r="BM20" s="8">
        <v>1903833.2550732805</v>
      </c>
      <c r="BN20" s="8">
        <v>1859568.7860766628</v>
      </c>
      <c r="BO20" s="8">
        <v>1813459.9642051859</v>
      </c>
      <c r="BP20" s="8">
        <v>1765045.7012401351</v>
      </c>
      <c r="BQ20" s="8">
        <v>1714787.0854002256</v>
      </c>
      <c r="BR20" s="8">
        <v>1662684.1166854564</v>
      </c>
      <c r="BS20" s="8">
        <v>1608275.7068771138</v>
      </c>
      <c r="BT20" s="8">
        <v>1551561.8559751974</v>
      </c>
      <c r="BU20" s="8">
        <v>1493003.6521984215</v>
      </c>
      <c r="BV20" s="8">
        <v>1432601.0955467867</v>
      </c>
      <c r="BW20" s="8">
        <v>1369893.0978015782</v>
      </c>
      <c r="BX20" s="8">
        <v>1305340.7471815108</v>
      </c>
      <c r="BY20" s="8">
        <v>1238944.0436865839</v>
      </c>
      <c r="BZ20" s="8">
        <v>1171164.075535513</v>
      </c>
      <c r="CA20" s="8">
        <v>1102000.8427282975</v>
      </c>
      <c r="CB20" s="8">
        <v>1031454.3452649381</v>
      </c>
      <c r="CC20" s="8">
        <v>960446.75958286365</v>
      </c>
      <c r="CD20" s="8">
        <v>888978.08568207431</v>
      </c>
      <c r="CE20" s="8">
        <v>817048.3235625705</v>
      </c>
      <c r="CF20" s="8">
        <v>746040.73788049608</v>
      </c>
      <c r="CG20" s="8">
        <v>675494.24041713635</v>
      </c>
      <c r="CH20" s="8">
        <v>606331.00760992104</v>
      </c>
      <c r="CI20" s="8">
        <v>539473.21589627967</v>
      </c>
      <c r="CJ20" s="8">
        <v>474920.86527621187</v>
      </c>
      <c r="CK20" s="8">
        <v>413135.04396843287</v>
      </c>
      <c r="CL20" s="8">
        <v>355037.928410372</v>
      </c>
      <c r="CM20" s="8">
        <v>301090.60682074405</v>
      </c>
      <c r="CN20" s="8">
        <v>251754.16741826385</v>
      </c>
      <c r="CO20" s="8">
        <v>207028.61020293122</v>
      </c>
      <c r="CP20" s="8">
        <v>167375.0233934611</v>
      </c>
      <c r="CQ20" s="8">
        <v>132793.40698985345</v>
      </c>
      <c r="CR20" s="8">
        <v>102822.67277339347</v>
      </c>
      <c r="CS20" s="8">
        <v>77923.908962795933</v>
      </c>
      <c r="CT20" s="8">
        <v>57636.02733934611</v>
      </c>
      <c r="CU20" s="8">
        <v>41497.939684329198</v>
      </c>
      <c r="CV20" s="8">
        <v>29048.557779030438</v>
      </c>
      <c r="CW20" s="8">
        <v>18904.616967305526</v>
      </c>
      <c r="CX20" s="8">
        <v>11988.293686583991</v>
      </c>
      <c r="CY20" s="8">
        <v>5533.0586245772265</v>
      </c>
      <c r="CZ20" s="8">
        <v>2305.4410935738442</v>
      </c>
      <c r="DA20" s="8">
        <v>1383.2646561443066</v>
      </c>
      <c r="DB20" s="8">
        <v>461.08821871476886</v>
      </c>
      <c r="DC20" s="8">
        <v>0</v>
      </c>
      <c r="DD20" s="8">
        <v>0</v>
      </c>
    </row>
    <row r="21" spans="3:108">
      <c r="L21" s="8">
        <v>10</v>
      </c>
      <c r="M21" s="8">
        <v>0.69820000000000004</v>
      </c>
      <c r="N21" s="8">
        <f t="shared" si="0"/>
        <v>0.99246624022743424</v>
      </c>
      <c r="O21" s="8">
        <f t="shared" si="1"/>
        <v>0.99246624022743435</v>
      </c>
      <c r="P21" s="8">
        <v>2597766.2615384618</v>
      </c>
      <c r="Q21" s="8">
        <v>2578195.3145787548</v>
      </c>
      <c r="R21" s="8">
        <v>2563055.5254212455</v>
      </c>
      <c r="S21" s="8">
        <v>2548654.2625641027</v>
      </c>
      <c r="T21" s="8">
        <v>2534622.2628571428</v>
      </c>
      <c r="U21" s="8">
        <v>2520221</v>
      </c>
      <c r="V21" s="8">
        <v>2504711.9476923076</v>
      </c>
      <c r="W21" s="8">
        <v>2486618.0533333332</v>
      </c>
      <c r="X21" s="8">
        <v>2467416.3695238093</v>
      </c>
      <c r="Y21" s="8">
        <v>2447476.1594139189</v>
      </c>
      <c r="Z21" s="8">
        <v>2426428.1598534794</v>
      </c>
      <c r="AA21" s="8">
        <v>2404272.3708424903</v>
      </c>
      <c r="AB21" s="8">
        <v>2381747.3186813183</v>
      </c>
      <c r="AC21" s="8">
        <v>2358483.7402197798</v>
      </c>
      <c r="AD21" s="8">
        <v>2334850.8986080578</v>
      </c>
      <c r="AE21" s="8">
        <v>2310848.7938461532</v>
      </c>
      <c r="AF21" s="8">
        <v>2286846.6890842482</v>
      </c>
      <c r="AG21" s="8">
        <v>2263213.8474725266</v>
      </c>
      <c r="AH21" s="8">
        <v>2239581.005860805</v>
      </c>
      <c r="AI21" s="8">
        <v>2216317.4273992665</v>
      </c>
      <c r="AJ21" s="8">
        <v>2193053.848937728</v>
      </c>
      <c r="AK21" s="8">
        <v>2170528.7967765559</v>
      </c>
      <c r="AL21" s="8">
        <v>2148373.0077655669</v>
      </c>
      <c r="AM21" s="8">
        <v>2126955.745054944</v>
      </c>
      <c r="AN21" s="8">
        <v>2105538.4823443214</v>
      </c>
      <c r="AO21" s="8">
        <v>2084490.4827838817</v>
      </c>
      <c r="AP21" s="8">
        <v>2063442.483223442</v>
      </c>
      <c r="AQ21" s="8">
        <v>2043133.009963369</v>
      </c>
      <c r="AR21" s="8">
        <v>2022454.2735531125</v>
      </c>
      <c r="AS21" s="8">
        <v>2002144.8002930395</v>
      </c>
      <c r="AT21" s="8">
        <v>1981835.3270329661</v>
      </c>
      <c r="AU21" s="8">
        <v>1961525.8537728931</v>
      </c>
      <c r="AV21" s="8">
        <v>1940847.1173626366</v>
      </c>
      <c r="AW21" s="8">
        <v>1920168.3809523804</v>
      </c>
      <c r="AX21" s="8">
        <v>1899120.3813919406</v>
      </c>
      <c r="AY21" s="8">
        <v>1877333.8555311346</v>
      </c>
      <c r="AZ21" s="8">
        <v>1855547.3296703286</v>
      </c>
      <c r="BA21" s="8">
        <v>1833022.2775091566</v>
      </c>
      <c r="BB21" s="8">
        <v>1809758.6990476181</v>
      </c>
      <c r="BC21" s="8">
        <v>1785756.5942857133</v>
      </c>
      <c r="BD21" s="8">
        <v>1761015.9632234422</v>
      </c>
      <c r="BE21" s="8">
        <v>1735536.8058608049</v>
      </c>
      <c r="BF21" s="8">
        <v>1708949.8590476182</v>
      </c>
      <c r="BG21" s="8">
        <v>1681255.1227838818</v>
      </c>
      <c r="BH21" s="8">
        <v>1652452.5970695962</v>
      </c>
      <c r="BI21" s="8">
        <v>1622542.281904761</v>
      </c>
      <c r="BJ21" s="8">
        <v>1591154.9141391932</v>
      </c>
      <c r="BK21" s="8">
        <v>1558659.756923076</v>
      </c>
      <c r="BL21" s="8">
        <v>1524687.5471062262</v>
      </c>
      <c r="BM21" s="8">
        <v>1489238.2846886439</v>
      </c>
      <c r="BN21" s="8">
        <v>1452311.9696703288</v>
      </c>
      <c r="BO21" s="8">
        <v>1413539.3389010979</v>
      </c>
      <c r="BP21" s="8">
        <v>1373289.6555311347</v>
      </c>
      <c r="BQ21" s="8">
        <v>1331562.9195604387</v>
      </c>
      <c r="BR21" s="8">
        <v>1287989.8678388272</v>
      </c>
      <c r="BS21" s="8">
        <v>1242570.5003662999</v>
      </c>
      <c r="BT21" s="8">
        <v>1195674.0802930396</v>
      </c>
      <c r="BU21" s="8">
        <v>1147300.6076190469</v>
      </c>
      <c r="BV21" s="8">
        <v>1097080.8191941385</v>
      </c>
      <c r="BW21" s="8">
        <v>1045383.9781684977</v>
      </c>
      <c r="BX21" s="8">
        <v>992210.08454212395</v>
      </c>
      <c r="BY21" s="8">
        <v>937928.40146520094</v>
      </c>
      <c r="BZ21" s="8">
        <v>882538.9289377284</v>
      </c>
      <c r="CA21" s="8">
        <v>826041.66695970658</v>
      </c>
      <c r="CB21" s="8">
        <v>769175.1418315015</v>
      </c>
      <c r="CC21" s="8">
        <v>711939.35355311318</v>
      </c>
      <c r="CD21" s="8">
        <v>654334.30212454172</v>
      </c>
      <c r="CE21" s="8">
        <v>597467.77699633664</v>
      </c>
      <c r="CF21" s="8">
        <v>540970.51501831471</v>
      </c>
      <c r="CG21" s="8">
        <v>485581.04249084229</v>
      </c>
      <c r="CH21" s="8">
        <v>432037.88571428554</v>
      </c>
      <c r="CI21" s="8">
        <v>380341.04468864447</v>
      </c>
      <c r="CJ21" s="8">
        <v>330859.78256410238</v>
      </c>
      <c r="CK21" s="8">
        <v>284332.62564102549</v>
      </c>
      <c r="CL21" s="8">
        <v>241128.83706959692</v>
      </c>
      <c r="CM21" s="8">
        <v>201617.67999999991</v>
      </c>
      <c r="CN21" s="8">
        <v>165799.15443223435</v>
      </c>
      <c r="CO21" s="8">
        <v>134042.52351648343</v>
      </c>
      <c r="CP21" s="8">
        <v>106347.78725274719</v>
      </c>
      <c r="CQ21" s="8">
        <v>82345.682490842446</v>
      </c>
      <c r="CR21" s="8">
        <v>62405.472380952342</v>
      </c>
      <c r="CS21" s="8">
        <v>46157.893772893753</v>
      </c>
      <c r="CT21" s="8">
        <v>33233.683516483499</v>
      </c>
      <c r="CU21" s="8">
        <v>23263.578461538451</v>
      </c>
      <c r="CV21" s="8">
        <v>15139.789157509153</v>
      </c>
      <c r="CW21" s="8">
        <v>9600.8419047619009</v>
      </c>
      <c r="CX21" s="8">
        <v>4431.1578021978003</v>
      </c>
      <c r="CY21" s="8">
        <v>1846.3157509157504</v>
      </c>
      <c r="CZ21" s="8">
        <v>1107.7894505494501</v>
      </c>
      <c r="DA21" s="8">
        <v>369.26315018315006</v>
      </c>
      <c r="DB21" s="8">
        <v>0</v>
      </c>
    </row>
    <row r="22" spans="3:108">
      <c r="C22" s="8">
        <f>1788-L22</f>
        <v>1778</v>
      </c>
      <c r="D22" s="8">
        <v>7293</v>
      </c>
      <c r="E22" s="8">
        <v>2585008</v>
      </c>
      <c r="F22" s="8">
        <v>2514918.8805970149</v>
      </c>
      <c r="G22" s="8">
        <v>2499442.4567164178</v>
      </c>
      <c r="H22" s="8">
        <v>2481386.6288557216</v>
      </c>
      <c r="I22" s="8">
        <f>F22/E22</f>
        <v>0.97288630464471093</v>
      </c>
      <c r="J22" s="8">
        <f>G22/E22</f>
        <v>0.96689931200074342</v>
      </c>
      <c r="K22" s="8">
        <f>H22/E22</f>
        <v>0.95991448724944817</v>
      </c>
      <c r="L22" s="8">
        <v>10</v>
      </c>
      <c r="M22" s="8">
        <v>0.69820000000000004</v>
      </c>
      <c r="N22" s="8">
        <f t="shared" si="0"/>
        <v>0.99246624022743424</v>
      </c>
      <c r="O22" s="8">
        <f t="shared" si="1"/>
        <v>1</v>
      </c>
      <c r="P22" s="8">
        <v>2592301</v>
      </c>
      <c r="Q22" s="8">
        <v>2572771.2270078179</v>
      </c>
      <c r="R22" s="8">
        <v>2557663.2894100924</v>
      </c>
      <c r="S22" s="8">
        <v>2543292.3243781095</v>
      </c>
      <c r="T22" s="8">
        <v>2529289.8456289978</v>
      </c>
      <c r="U22" s="8">
        <v>2514918.8805970149</v>
      </c>
      <c r="V22" s="8">
        <v>2499442.4567164178</v>
      </c>
      <c r="W22" s="8">
        <v>2481386.6288557216</v>
      </c>
      <c r="X22" s="8">
        <v>2462225.3421464106</v>
      </c>
      <c r="Y22" s="8">
        <v>2442327.082871357</v>
      </c>
      <c r="Z22" s="8">
        <v>2421323.36474769</v>
      </c>
      <c r="AA22" s="8">
        <v>2399214.1877754084</v>
      </c>
      <c r="AB22" s="8">
        <v>2376736.5245202561</v>
      </c>
      <c r="AC22" s="8">
        <v>2353521.8886993602</v>
      </c>
      <c r="AD22" s="8">
        <v>2329938.7665955932</v>
      </c>
      <c r="AE22" s="8">
        <v>2305987.1582089555</v>
      </c>
      <c r="AF22" s="8">
        <v>2282035.5498223165</v>
      </c>
      <c r="AG22" s="8">
        <v>2258452.42771855</v>
      </c>
      <c r="AH22" s="8">
        <v>2234869.3056147834</v>
      </c>
      <c r="AI22" s="8">
        <v>2211654.6697938875</v>
      </c>
      <c r="AJ22" s="8">
        <v>2188440.0339729921</v>
      </c>
      <c r="AK22" s="8">
        <v>2165962.3707178393</v>
      </c>
      <c r="AL22" s="8">
        <v>2143853.1937455577</v>
      </c>
      <c r="AM22" s="8">
        <v>2122480.9893390192</v>
      </c>
      <c r="AN22" s="8">
        <v>2101108.7849324807</v>
      </c>
      <c r="AO22" s="8">
        <v>2080105.066808813</v>
      </c>
      <c r="AP22" s="8">
        <v>2059101.3486851456</v>
      </c>
      <c r="AQ22" s="8">
        <v>2038834.6031272211</v>
      </c>
      <c r="AR22" s="8">
        <v>2018199.3712864248</v>
      </c>
      <c r="AS22" s="8">
        <v>1997932.6257285005</v>
      </c>
      <c r="AT22" s="8">
        <v>1977665.8801705756</v>
      </c>
      <c r="AU22" s="8">
        <v>1957399.1346126511</v>
      </c>
      <c r="AV22" s="8">
        <v>1936763.9027718548</v>
      </c>
      <c r="AW22" s="8">
        <v>1916128.6709310589</v>
      </c>
      <c r="AX22" s="8">
        <v>1895124.9528073918</v>
      </c>
      <c r="AY22" s="8">
        <v>1873384.2621179814</v>
      </c>
      <c r="AZ22" s="8">
        <v>1851643.5714285714</v>
      </c>
      <c r="BA22" s="8">
        <v>1829165.9081734186</v>
      </c>
      <c r="BB22" s="8">
        <v>1805951.2723525232</v>
      </c>
      <c r="BC22" s="8">
        <v>1781999.6639658848</v>
      </c>
      <c r="BD22" s="8">
        <v>1757311.0830135038</v>
      </c>
      <c r="BE22" s="8">
        <v>1731885.5294953801</v>
      </c>
      <c r="BF22" s="8">
        <v>1705354.5171286424</v>
      </c>
      <c r="BG22" s="8">
        <v>1677718.0459132907</v>
      </c>
      <c r="BH22" s="8">
        <v>1648976.1158493247</v>
      </c>
      <c r="BI22" s="8">
        <v>1619128.726936745</v>
      </c>
      <c r="BJ22" s="8">
        <v>1587807.3928926797</v>
      </c>
      <c r="BK22" s="8">
        <v>1555380.5999999999</v>
      </c>
      <c r="BL22" s="8">
        <v>1521479.8619758352</v>
      </c>
      <c r="BM22" s="8">
        <v>1486105.1788201847</v>
      </c>
      <c r="BN22" s="8">
        <v>1449256.550533049</v>
      </c>
      <c r="BO22" s="8">
        <v>1410565.4908315565</v>
      </c>
      <c r="BP22" s="8">
        <v>1370400.4859985786</v>
      </c>
      <c r="BQ22" s="8">
        <v>1328761.5360341149</v>
      </c>
      <c r="BR22" s="8">
        <v>1285280.154655295</v>
      </c>
      <c r="BS22" s="8">
        <v>1239956.3418621181</v>
      </c>
      <c r="BT22" s="8">
        <v>1193158.5839374554</v>
      </c>
      <c r="BU22" s="8">
        <v>1144886.8808813076</v>
      </c>
      <c r="BV22" s="8">
        <v>1094772.7464108029</v>
      </c>
      <c r="BW22" s="8">
        <v>1043184.6668088131</v>
      </c>
      <c r="BX22" s="8">
        <v>990122.64207533759</v>
      </c>
      <c r="BY22" s="8">
        <v>935955.15849324805</v>
      </c>
      <c r="BZ22" s="8">
        <v>880682.21606254438</v>
      </c>
      <c r="CA22" s="8">
        <v>824303.8147832267</v>
      </c>
      <c r="CB22" s="8">
        <v>767556.92722103768</v>
      </c>
      <c r="CC22" s="8">
        <v>710441.55337597732</v>
      </c>
      <c r="CD22" s="8">
        <v>652957.6932480454</v>
      </c>
      <c r="CE22" s="8">
        <v>596210.8056858565</v>
      </c>
      <c r="CF22" s="8">
        <v>539832.4044065387</v>
      </c>
      <c r="CG22" s="8">
        <v>484559.46197583515</v>
      </c>
      <c r="CH22" s="8">
        <v>431128.95095948828</v>
      </c>
      <c r="CI22" s="8">
        <v>379540.87135749817</v>
      </c>
      <c r="CJ22" s="8">
        <v>330163.70945273631</v>
      </c>
      <c r="CK22" s="8">
        <v>283734.43781094527</v>
      </c>
      <c r="CL22" s="8">
        <v>240621.54271499644</v>
      </c>
      <c r="CM22" s="8">
        <v>201193.51044776122</v>
      </c>
      <c r="CN22" s="8">
        <v>165450.34100923952</v>
      </c>
      <c r="CO22" s="8">
        <v>133760.52068230277</v>
      </c>
      <c r="CP22" s="8">
        <v>106124.04946695095</v>
      </c>
      <c r="CQ22" s="8">
        <v>82172.44108031271</v>
      </c>
      <c r="CR22" s="8">
        <v>62274.18180525941</v>
      </c>
      <c r="CS22" s="8">
        <v>46060.785358919689</v>
      </c>
      <c r="CT22" s="8">
        <v>33163.765458422175</v>
      </c>
      <c r="CU22" s="8">
        <v>23214.635820895524</v>
      </c>
      <c r="CV22" s="8">
        <v>15107.937597725657</v>
      </c>
      <c r="CW22" s="8">
        <v>9580.6433546552944</v>
      </c>
      <c r="CX22" s="8">
        <v>4421.8353944562896</v>
      </c>
      <c r="CY22" s="8">
        <v>1842.4314143567874</v>
      </c>
      <c r="CZ22" s="8">
        <v>1105.4588486140724</v>
      </c>
      <c r="DA22" s="8">
        <v>368.4862828713575</v>
      </c>
    </row>
    <row r="23" spans="3:108">
      <c r="L23" s="8">
        <v>11</v>
      </c>
      <c r="M23" s="8">
        <v>0.69410000000000005</v>
      </c>
      <c r="N23" s="8">
        <f t="shared" si="0"/>
        <v>0.99412775708965917</v>
      </c>
      <c r="O23" s="8">
        <f t="shared" si="1"/>
        <v>0.99412775708965917</v>
      </c>
      <c r="P23" s="8">
        <v>1734654.89429456</v>
      </c>
      <c r="Q23" s="8">
        <v>1724468.5793896506</v>
      </c>
      <c r="R23" s="8">
        <v>1714779.1578947369</v>
      </c>
      <c r="S23" s="8">
        <v>1705338.1831048208</v>
      </c>
      <c r="T23" s="8">
        <v>1695648.761609907</v>
      </c>
      <c r="U23" s="8">
        <v>1685214</v>
      </c>
      <c r="V23" s="8">
        <v>1673040.1114551083</v>
      </c>
      <c r="W23" s="8">
        <v>1660120.8827952233</v>
      </c>
      <c r="X23" s="8">
        <v>1646704.7607253424</v>
      </c>
      <c r="Y23" s="8">
        <v>1632543.2985404686</v>
      </c>
      <c r="Z23" s="8">
        <v>1617636.4962406012</v>
      </c>
      <c r="AA23" s="8">
        <v>1602481.2472357361</v>
      </c>
      <c r="AB23" s="8">
        <v>1586829.1048208755</v>
      </c>
      <c r="AC23" s="8">
        <v>1570928.5157010169</v>
      </c>
      <c r="AD23" s="8">
        <v>1554779.4798761609</v>
      </c>
      <c r="AE23" s="8">
        <v>1538630.4440513044</v>
      </c>
      <c r="AF23" s="8">
        <v>1522729.854931446</v>
      </c>
      <c r="AG23" s="8">
        <v>1506829.2658115877</v>
      </c>
      <c r="AH23" s="8">
        <v>1491177.1233967268</v>
      </c>
      <c r="AI23" s="8">
        <v>1475524.9809818661</v>
      </c>
      <c r="AJ23" s="8">
        <v>1460369.7319770011</v>
      </c>
      <c r="AK23" s="8">
        <v>1445462.9296771337</v>
      </c>
      <c r="AL23" s="8">
        <v>1431053.0207872619</v>
      </c>
      <c r="AM23" s="8">
        <v>1416643.1118973903</v>
      </c>
      <c r="AN23" s="8">
        <v>1402481.6497125162</v>
      </c>
      <c r="AO23" s="8">
        <v>1388320.1875276421</v>
      </c>
      <c r="AP23" s="8">
        <v>1374655.6187527638</v>
      </c>
      <c r="AQ23" s="8">
        <v>1360742.6032728876</v>
      </c>
      <c r="AR23" s="8">
        <v>1347078.0344980094</v>
      </c>
      <c r="AS23" s="8">
        <v>1333413.4657231309</v>
      </c>
      <c r="AT23" s="8">
        <v>1319748.8969482526</v>
      </c>
      <c r="AU23" s="8">
        <v>1305835.8814683764</v>
      </c>
      <c r="AV23" s="8">
        <v>1291922.8659885004</v>
      </c>
      <c r="AW23" s="8">
        <v>1277761.4038036263</v>
      </c>
      <c r="AX23" s="8">
        <v>1263103.0482087568</v>
      </c>
      <c r="AY23" s="8">
        <v>1248444.6926138874</v>
      </c>
      <c r="AZ23" s="8">
        <v>1233289.4436090223</v>
      </c>
      <c r="BA23" s="8">
        <v>1217637.3011941616</v>
      </c>
      <c r="BB23" s="8">
        <v>1201488.2653693054</v>
      </c>
      <c r="BC23" s="8">
        <v>1184842.3361344535</v>
      </c>
      <c r="BD23" s="8">
        <v>1167699.5134896061</v>
      </c>
      <c r="BE23" s="8">
        <v>1149811.3507297654</v>
      </c>
      <c r="BF23" s="8">
        <v>1131177.8478549311</v>
      </c>
      <c r="BG23" s="8">
        <v>1111799.0048651036</v>
      </c>
      <c r="BH23" s="8">
        <v>1091674.8217602829</v>
      </c>
      <c r="BI23" s="8">
        <v>1070556.8518354709</v>
      </c>
      <c r="BJ23" s="8">
        <v>1048693.5417956654</v>
      </c>
      <c r="BK23" s="8">
        <v>1025836.4449358688</v>
      </c>
      <c r="BL23" s="8">
        <v>1001985.5612560811</v>
      </c>
      <c r="BM23" s="8">
        <v>977140.89075630228</v>
      </c>
      <c r="BN23" s="8">
        <v>951053.98673153447</v>
      </c>
      <c r="BO23" s="8">
        <v>923973.2958867756</v>
      </c>
      <c r="BP23" s="8">
        <v>895898.81822202541</v>
      </c>
      <c r="BQ23" s="8">
        <v>866582.10703228647</v>
      </c>
      <c r="BR23" s="8">
        <v>836023.16231755854</v>
      </c>
      <c r="BS23" s="8">
        <v>804470.43078283931</v>
      </c>
      <c r="BT23" s="8">
        <v>771923.912428129</v>
      </c>
      <c r="BU23" s="8">
        <v>738135.1605484297</v>
      </c>
      <c r="BV23" s="8">
        <v>703352.62184873945</v>
      </c>
      <c r="BW23" s="8">
        <v>667576.29632905789</v>
      </c>
      <c r="BX23" s="8">
        <v>631054.63069438294</v>
      </c>
      <c r="BY23" s="8">
        <v>593787.6249447146</v>
      </c>
      <c r="BZ23" s="8">
        <v>555775.27908005298</v>
      </c>
      <c r="CA23" s="8">
        <v>517514.48651039356</v>
      </c>
      <c r="CB23" s="8">
        <v>479005.24723573629</v>
      </c>
      <c r="CC23" s="8">
        <v>440247.56125608127</v>
      </c>
      <c r="CD23" s="8">
        <v>401986.76868642186</v>
      </c>
      <c r="CE23" s="8">
        <v>363974.42282176018</v>
      </c>
      <c r="CF23" s="8">
        <v>326707.41707209195</v>
      </c>
      <c r="CG23" s="8">
        <v>290682.64484741259</v>
      </c>
      <c r="CH23" s="8">
        <v>255900.10614772217</v>
      </c>
      <c r="CI23" s="8">
        <v>222608.24767801852</v>
      </c>
      <c r="CJ23" s="8">
        <v>191303.96284829717</v>
      </c>
      <c r="CK23" s="8">
        <v>162235.69836355592</v>
      </c>
      <c r="CL23" s="8">
        <v>135651.90092879254</v>
      </c>
      <c r="CM23" s="8">
        <v>111552.57054400706</v>
      </c>
      <c r="CN23" s="8">
        <v>90186.153914197232</v>
      </c>
      <c r="CO23" s="8">
        <v>71552.651039363089</v>
      </c>
      <c r="CP23" s="8">
        <v>55403.615214506841</v>
      </c>
      <c r="CQ23" s="8">
        <v>41987.493144626256</v>
      </c>
      <c r="CR23" s="8">
        <v>31055.838124723567</v>
      </c>
      <c r="CS23" s="8">
        <v>22360.203449800963</v>
      </c>
      <c r="CT23" s="8">
        <v>15652.142414860677</v>
      </c>
      <c r="CU23" s="8">
        <v>10186.31490490933</v>
      </c>
      <c r="CV23" s="8">
        <v>6459.6143299425012</v>
      </c>
      <c r="CW23" s="8">
        <v>2981.3604599734617</v>
      </c>
      <c r="CX23" s="8">
        <v>1242.2335249889425</v>
      </c>
      <c r="CY23" s="8">
        <v>745.34011499336543</v>
      </c>
      <c r="CZ23" s="8">
        <v>248.44670499778852</v>
      </c>
      <c r="DA23" s="8">
        <v>0</v>
      </c>
    </row>
    <row r="24" spans="3:108">
      <c r="C24" s="8">
        <f t="shared" ref="C24:C30" si="2">1788-L24</f>
        <v>1777</v>
      </c>
      <c r="D24" s="8">
        <v>2618</v>
      </c>
      <c r="E24" s="8">
        <v>1752222</v>
      </c>
      <c r="F24" s="8">
        <v>1704823.7926095675</v>
      </c>
      <c r="G24" s="8">
        <v>1692508.2440561443</v>
      </c>
      <c r="H24" s="8">
        <v>1679438.6823259811</v>
      </c>
      <c r="I24" s="8">
        <f t="shared" ref="I24:I30" si="3">F24/E24</f>
        <v>0.97294965627047691</v>
      </c>
      <c r="J24" s="8">
        <f t="shared" ref="J24:J30" si="4">G24/E24</f>
        <v>0.96592112418183551</v>
      </c>
      <c r="K24" s="8">
        <f t="shared" ref="K24:K30" si="5">H24/E24</f>
        <v>0.95846227380205307</v>
      </c>
      <c r="L24" s="8">
        <v>11</v>
      </c>
      <c r="M24" s="8">
        <v>0.69410000000000005</v>
      </c>
      <c r="N24" s="8">
        <f t="shared" si="0"/>
        <v>0.99412775708965917</v>
      </c>
      <c r="O24" s="8">
        <f t="shared" si="1"/>
        <v>1</v>
      </c>
      <c r="P24" s="8">
        <v>1754840</v>
      </c>
      <c r="Q24" s="8">
        <v>1744535.1532512174</v>
      </c>
      <c r="R24" s="8">
        <v>1734732.9819535948</v>
      </c>
      <c r="S24" s="8">
        <v>1725182.1483815524</v>
      </c>
      <c r="T24" s="8">
        <v>1715379.97708393</v>
      </c>
      <c r="U24" s="8">
        <v>1704823.7926095675</v>
      </c>
      <c r="V24" s="8">
        <v>1692508.2440561443</v>
      </c>
      <c r="W24" s="8">
        <v>1679438.6823259811</v>
      </c>
      <c r="X24" s="8">
        <v>1665866.4451446573</v>
      </c>
      <c r="Y24" s="8">
        <v>1651540.194786594</v>
      </c>
      <c r="Z24" s="8">
        <v>1636459.9312517901</v>
      </c>
      <c r="AA24" s="8">
        <v>1621128.3299914065</v>
      </c>
      <c r="AB24" s="8">
        <v>1605294.0532798625</v>
      </c>
      <c r="AC24" s="8">
        <v>1589208.4388427383</v>
      </c>
      <c r="AD24" s="8">
        <v>1572871.4866800343</v>
      </c>
      <c r="AE24" s="8">
        <v>1556534.5345173301</v>
      </c>
      <c r="AF24" s="8">
        <v>1540448.9200802061</v>
      </c>
      <c r="AG24" s="8">
        <v>1524363.3056430821</v>
      </c>
      <c r="AH24" s="8">
        <v>1508529.0289315379</v>
      </c>
      <c r="AI24" s="8">
        <v>1492694.7522199943</v>
      </c>
      <c r="AJ24" s="8">
        <v>1477363.1509596102</v>
      </c>
      <c r="AK24" s="8">
        <v>1462282.8874248066</v>
      </c>
      <c r="AL24" s="8">
        <v>1447705.2993411629</v>
      </c>
      <c r="AM24" s="8">
        <v>1433127.7112575192</v>
      </c>
      <c r="AN24" s="8">
        <v>1418801.4608994557</v>
      </c>
      <c r="AO24" s="8">
        <v>1404475.210541392</v>
      </c>
      <c r="AP24" s="8">
        <v>1390651.6356344887</v>
      </c>
      <c r="AQ24" s="8">
        <v>1376576.7230020049</v>
      </c>
      <c r="AR24" s="8">
        <v>1362753.1480951016</v>
      </c>
      <c r="AS24" s="8">
        <v>1348929.573188198</v>
      </c>
      <c r="AT24" s="8">
        <v>1335105.9982812947</v>
      </c>
      <c r="AU24" s="8">
        <v>1321031.0856488112</v>
      </c>
      <c r="AV24" s="8">
        <v>1306956.1730163277</v>
      </c>
      <c r="AW24" s="8">
        <v>1292629.9226582639</v>
      </c>
      <c r="AX24" s="8">
        <v>1277800.9968490403</v>
      </c>
      <c r="AY24" s="8">
        <v>1262972.0710398164</v>
      </c>
      <c r="AZ24" s="8">
        <v>1247640.4697794328</v>
      </c>
      <c r="BA24" s="8">
        <v>1231806.1930678887</v>
      </c>
      <c r="BB24" s="8">
        <v>1215469.2409051845</v>
      </c>
      <c r="BC24" s="8">
        <v>1198629.6132913204</v>
      </c>
      <c r="BD24" s="8">
        <v>1181287.3102262961</v>
      </c>
      <c r="BE24" s="8">
        <v>1163190.9939845314</v>
      </c>
      <c r="BF24" s="8">
        <v>1144340.6645660268</v>
      </c>
      <c r="BG24" s="8">
        <v>1124736.321970782</v>
      </c>
      <c r="BH24" s="8">
        <v>1104377.9661987969</v>
      </c>
      <c r="BI24" s="8">
        <v>1083014.2595244914</v>
      </c>
      <c r="BJ24" s="8">
        <v>1060896.5396734457</v>
      </c>
      <c r="BK24" s="8">
        <v>1037773.4689200801</v>
      </c>
      <c r="BL24" s="8">
        <v>1013645.047264394</v>
      </c>
      <c r="BM24" s="8">
        <v>988511.27470638766</v>
      </c>
      <c r="BN24" s="8">
        <v>962120.81352048111</v>
      </c>
      <c r="BO24" s="8">
        <v>934725.00143225433</v>
      </c>
      <c r="BP24" s="8">
        <v>906323.83844170719</v>
      </c>
      <c r="BQ24" s="8">
        <v>876665.98682325985</v>
      </c>
      <c r="BR24" s="8">
        <v>845751.44657691207</v>
      </c>
      <c r="BS24" s="8">
        <v>813831.55542824394</v>
      </c>
      <c r="BT24" s="8">
        <v>780906.31337725569</v>
      </c>
      <c r="BU24" s="8">
        <v>746724.38269836712</v>
      </c>
      <c r="BV24" s="8">
        <v>711537.10111715843</v>
      </c>
      <c r="BW24" s="8">
        <v>675344.46863362927</v>
      </c>
      <c r="BX24" s="8">
        <v>638397.82297335996</v>
      </c>
      <c r="BY24" s="8">
        <v>600697.16413635062</v>
      </c>
      <c r="BZ24" s="8">
        <v>562242.49212260102</v>
      </c>
      <c r="CA24" s="8">
        <v>523536.48238327127</v>
      </c>
      <c r="CB24" s="8">
        <v>484579.13491836149</v>
      </c>
      <c r="CC24" s="8">
        <v>445370.44972787163</v>
      </c>
      <c r="CD24" s="8">
        <v>406664.439988542</v>
      </c>
      <c r="CE24" s="8">
        <v>368209.76797479228</v>
      </c>
      <c r="CF24" s="8">
        <v>330509.10913778289</v>
      </c>
      <c r="CG24" s="8">
        <v>294065.1389286737</v>
      </c>
      <c r="CH24" s="8">
        <v>258877.85734746489</v>
      </c>
      <c r="CI24" s="8">
        <v>225198.60211973643</v>
      </c>
      <c r="CJ24" s="8">
        <v>193530.0486966485</v>
      </c>
      <c r="CK24" s="8">
        <v>164123.53480378113</v>
      </c>
      <c r="CL24" s="8">
        <v>137230.39816671441</v>
      </c>
      <c r="CM24" s="8">
        <v>112850.6387854483</v>
      </c>
      <c r="CN24" s="8">
        <v>91235.594385562857</v>
      </c>
      <c r="CO24" s="8">
        <v>72385.264967058145</v>
      </c>
      <c r="CP24" s="8">
        <v>56048.312804354049</v>
      </c>
      <c r="CQ24" s="8">
        <v>42476.075623030643</v>
      </c>
      <c r="CR24" s="8">
        <v>31417.215697507876</v>
      </c>
      <c r="CS24" s="8">
        <v>22620.39530220567</v>
      </c>
      <c r="CT24" s="8">
        <v>15834.276711543969</v>
      </c>
      <c r="CU24" s="8">
        <v>10304.846748782584</v>
      </c>
      <c r="CV24" s="8">
        <v>6534.7808650816378</v>
      </c>
      <c r="CW24" s="8">
        <v>3016.052706960756</v>
      </c>
      <c r="CX24" s="8">
        <v>1256.6886279003152</v>
      </c>
      <c r="CY24" s="8">
        <v>754.01317674018901</v>
      </c>
      <c r="CZ24" s="8">
        <v>251.33772558006302</v>
      </c>
      <c r="DA24" s="8">
        <v>0</v>
      </c>
    </row>
    <row r="25" spans="3:108">
      <c r="C25" s="8">
        <f t="shared" si="2"/>
        <v>1776</v>
      </c>
      <c r="D25" s="8">
        <v>9720</v>
      </c>
      <c r="E25" s="8">
        <v>1314882</v>
      </c>
      <c r="F25" s="8">
        <v>1285098.6699322863</v>
      </c>
      <c r="G25" s="8">
        <v>1275175.1280795273</v>
      </c>
      <c r="H25" s="8">
        <v>1264869.9115401236</v>
      </c>
      <c r="I25" s="8">
        <f t="shared" si="3"/>
        <v>0.97734904723943761</v>
      </c>
      <c r="J25" s="8">
        <f t="shared" si="4"/>
        <v>0.96980195034955785</v>
      </c>
      <c r="K25" s="8">
        <f t="shared" si="5"/>
        <v>0.96196458050237488</v>
      </c>
      <c r="L25" s="8">
        <v>12</v>
      </c>
      <c r="M25" s="8">
        <v>0.69020000000000004</v>
      </c>
      <c r="N25" s="8">
        <f t="shared" si="0"/>
        <v>0.99438121308168859</v>
      </c>
      <c r="O25" s="8">
        <f t="shared" si="1"/>
        <v>0.99438121308168848</v>
      </c>
      <c r="P25" s="8">
        <v>1324602</v>
      </c>
      <c r="Q25" s="8">
        <v>1317159.3436104308</v>
      </c>
      <c r="R25" s="8">
        <v>1309907.5245641838</v>
      </c>
      <c r="S25" s="8">
        <v>1302464.8681746144</v>
      </c>
      <c r="T25" s="8">
        <v>1294449.6997550784</v>
      </c>
      <c r="U25" s="8">
        <v>1285098.6699322863</v>
      </c>
      <c r="V25" s="8">
        <v>1275175.1280795273</v>
      </c>
      <c r="W25" s="8">
        <v>1264869.9115401236</v>
      </c>
      <c r="X25" s="8">
        <v>1253992.1829707534</v>
      </c>
      <c r="Y25" s="8">
        <v>1242541.9423714161</v>
      </c>
      <c r="Z25" s="8">
        <v>1230900.8644287565</v>
      </c>
      <c r="AA25" s="8">
        <v>1218878.1117994525</v>
      </c>
      <c r="AB25" s="8">
        <v>1206664.521826826</v>
      </c>
      <c r="AC25" s="8">
        <v>1194260.0945108773</v>
      </c>
      <c r="AD25" s="8">
        <v>1181855.6671949285</v>
      </c>
      <c r="AE25" s="8">
        <v>1169642.0772223021</v>
      </c>
      <c r="AF25" s="8">
        <v>1157428.4872496757</v>
      </c>
      <c r="AG25" s="8">
        <v>1145405.7346203714</v>
      </c>
      <c r="AH25" s="8">
        <v>1133382.9819910675</v>
      </c>
      <c r="AI25" s="8">
        <v>1121741.9040484079</v>
      </c>
      <c r="AJ25" s="8">
        <v>1110291.6634490706</v>
      </c>
      <c r="AK25" s="8">
        <v>1099223.0975363778</v>
      </c>
      <c r="AL25" s="8">
        <v>1088154.5316236853</v>
      </c>
      <c r="AM25" s="8">
        <v>1077276.8030543148</v>
      </c>
      <c r="AN25" s="8">
        <v>1066399.0744849443</v>
      </c>
      <c r="AO25" s="8">
        <v>1055903.0206022186</v>
      </c>
      <c r="AP25" s="8">
        <v>1045216.1293761703</v>
      </c>
      <c r="AQ25" s="8">
        <v>1034720.0754934447</v>
      </c>
      <c r="AR25" s="8">
        <v>1024224.0216107188</v>
      </c>
      <c r="AS25" s="8">
        <v>1013727.9677279929</v>
      </c>
      <c r="AT25" s="8">
        <v>1003041.0765019449</v>
      </c>
      <c r="AU25" s="8">
        <v>992354.1852758968</v>
      </c>
      <c r="AV25" s="8">
        <v>981476.45670652634</v>
      </c>
      <c r="AW25" s="8">
        <v>970217.05345051142</v>
      </c>
      <c r="AX25" s="8">
        <v>958957.65019449627</v>
      </c>
      <c r="AY25" s="8">
        <v>947316.57225183689</v>
      </c>
      <c r="AZ25" s="8">
        <v>935293.8196225327</v>
      </c>
      <c r="BA25" s="8">
        <v>922889.39230658405</v>
      </c>
      <c r="BB25" s="8">
        <v>910103.29030399071</v>
      </c>
      <c r="BC25" s="8">
        <v>896935.5136147528</v>
      </c>
      <c r="BD25" s="8">
        <v>883195.22489554808</v>
      </c>
      <c r="BE25" s="8">
        <v>868882.42414637643</v>
      </c>
      <c r="BF25" s="8">
        <v>853997.1113672381</v>
      </c>
      <c r="BG25" s="8">
        <v>838539.28655813285</v>
      </c>
      <c r="BH25" s="8">
        <v>822318.11237573822</v>
      </c>
      <c r="BI25" s="8">
        <v>805524.42616337689</v>
      </c>
      <c r="BJ25" s="8">
        <v>787967.39057772642</v>
      </c>
      <c r="BK25" s="8">
        <v>769647.00561878679</v>
      </c>
      <c r="BL25" s="8">
        <v>750563.27128655801</v>
      </c>
      <c r="BM25" s="8">
        <v>730525.35023771785</v>
      </c>
      <c r="BN25" s="8">
        <v>709724.07981558843</v>
      </c>
      <c r="BO25" s="8">
        <v>688159.46002016996</v>
      </c>
      <c r="BP25" s="8">
        <v>665640.65350814001</v>
      </c>
      <c r="BQ25" s="8">
        <v>642167.66027949867</v>
      </c>
      <c r="BR25" s="8">
        <v>617931.31767756795</v>
      </c>
      <c r="BS25" s="8">
        <v>592931.6257023483</v>
      </c>
      <c r="BT25" s="8">
        <v>566977.74701051717</v>
      </c>
      <c r="BU25" s="8">
        <v>540260.51894539688</v>
      </c>
      <c r="BV25" s="8">
        <v>512779.94150698744</v>
      </c>
      <c r="BW25" s="8">
        <v>484726.85203861113</v>
      </c>
      <c r="BX25" s="8">
        <v>456101.25054026791</v>
      </c>
      <c r="BY25" s="8">
        <v>426903.13701195794</v>
      </c>
      <c r="BZ25" s="8">
        <v>397514.18614032556</v>
      </c>
      <c r="CA25" s="8">
        <v>367934.39792537095</v>
      </c>
      <c r="CB25" s="8">
        <v>338163.77236709406</v>
      </c>
      <c r="CC25" s="8">
        <v>308774.82149546174</v>
      </c>
      <c r="CD25" s="8">
        <v>279576.70796715171</v>
      </c>
      <c r="CE25" s="8">
        <v>250951.10646880852</v>
      </c>
      <c r="CF25" s="8">
        <v>223279.69168707679</v>
      </c>
      <c r="CG25" s="8">
        <v>196562.46362195647</v>
      </c>
      <c r="CH25" s="8">
        <v>170990.25961676991</v>
      </c>
      <c r="CI25" s="8">
        <v>146944.75435816162</v>
      </c>
      <c r="CJ25" s="8">
        <v>124616.78518945395</v>
      </c>
      <c r="CK25" s="8">
        <v>104197.18945396917</v>
      </c>
      <c r="CL25" s="8">
        <v>85685.967151707242</v>
      </c>
      <c r="CM25" s="8">
        <v>69273.955625990478</v>
      </c>
      <c r="CN25" s="8">
        <v>54961.154876818895</v>
      </c>
      <c r="CO25" s="8">
        <v>42556.727560870189</v>
      </c>
      <c r="CP25" s="8">
        <v>32251.511021466642</v>
      </c>
      <c r="CQ25" s="8">
        <v>23854.667915285983</v>
      </c>
      <c r="CR25" s="8">
        <v>17175.360899005904</v>
      </c>
      <c r="CS25" s="8">
        <v>12022.752629304134</v>
      </c>
      <c r="CT25" s="8">
        <v>7824.3310762138026</v>
      </c>
      <c r="CU25" s="8">
        <v>4961.7709263794832</v>
      </c>
      <c r="CV25" s="8">
        <v>2290.0481198674538</v>
      </c>
      <c r="CW25" s="8">
        <v>954.18671661143924</v>
      </c>
      <c r="CX25" s="8">
        <v>572.51202996686345</v>
      </c>
      <c r="CY25" s="8">
        <v>190.83734332228786</v>
      </c>
      <c r="CZ25" s="8">
        <v>0</v>
      </c>
      <c r="DA25" s="8">
        <v>0</v>
      </c>
    </row>
    <row r="26" spans="3:108">
      <c r="C26" s="8">
        <f t="shared" si="2"/>
        <v>1775</v>
      </c>
      <c r="D26" s="8">
        <v>23720</v>
      </c>
      <c r="E26" s="8">
        <v>1991113</v>
      </c>
      <c r="F26" s="8">
        <v>1950610.5630252101</v>
      </c>
      <c r="G26" s="8">
        <v>1934846.8739495797</v>
      </c>
      <c r="H26" s="8">
        <v>1918207.4243697478</v>
      </c>
      <c r="I26" s="8">
        <f t="shared" si="3"/>
        <v>0.97965839358449769</v>
      </c>
      <c r="J26" s="8">
        <f t="shared" si="4"/>
        <v>0.97174136975127967</v>
      </c>
      <c r="K26" s="8">
        <f t="shared" si="5"/>
        <v>0.9633845112606606</v>
      </c>
      <c r="L26" s="8">
        <v>13</v>
      </c>
      <c r="M26" s="8">
        <v>0.68640000000000001</v>
      </c>
      <c r="N26" s="8">
        <f t="shared" si="0"/>
        <v>0.99449434946392345</v>
      </c>
      <c r="O26" s="8">
        <f t="shared" si="1"/>
        <v>0.99449434946392345</v>
      </c>
      <c r="P26" s="8">
        <v>2014833</v>
      </c>
      <c r="Q26" s="8">
        <v>2003740.0336134452</v>
      </c>
      <c r="R26" s="8">
        <v>1992355.1470588234</v>
      </c>
      <c r="S26" s="8">
        <v>1980094.5</v>
      </c>
      <c r="T26" s="8">
        <v>1965790.4117647058</v>
      </c>
      <c r="U26" s="8">
        <v>1950610.5630252101</v>
      </c>
      <c r="V26" s="8">
        <v>1934846.8739495797</v>
      </c>
      <c r="W26" s="8">
        <v>1918207.4243697478</v>
      </c>
      <c r="X26" s="8">
        <v>1900692.2142857143</v>
      </c>
      <c r="Y26" s="8">
        <v>1882885.0840336136</v>
      </c>
      <c r="Z26" s="8">
        <v>1864494.1134453781</v>
      </c>
      <c r="AA26" s="8">
        <v>1845811.2226890754</v>
      </c>
      <c r="AB26" s="8">
        <v>1826836.4117647058</v>
      </c>
      <c r="AC26" s="8">
        <v>1807861.6008403359</v>
      </c>
      <c r="AD26" s="8">
        <v>1789178.7100840334</v>
      </c>
      <c r="AE26" s="8">
        <v>1770495.8193277309</v>
      </c>
      <c r="AF26" s="8">
        <v>1752104.8487394957</v>
      </c>
      <c r="AG26" s="8">
        <v>1733713.8781512603</v>
      </c>
      <c r="AH26" s="8">
        <v>1715906.7478991598</v>
      </c>
      <c r="AI26" s="8">
        <v>1698391.5378151259</v>
      </c>
      <c r="AJ26" s="8">
        <v>1681460.1680672267</v>
      </c>
      <c r="AK26" s="8">
        <v>1664528.7983193276</v>
      </c>
      <c r="AL26" s="8">
        <v>1647889.3487394957</v>
      </c>
      <c r="AM26" s="8">
        <v>1631249.8991596638</v>
      </c>
      <c r="AN26" s="8">
        <v>1615194.2899159663</v>
      </c>
      <c r="AO26" s="8">
        <v>1598846.7605042013</v>
      </c>
      <c r="AP26" s="8">
        <v>1582791.151260504</v>
      </c>
      <c r="AQ26" s="8">
        <v>1566735.5420168065</v>
      </c>
      <c r="AR26" s="8">
        <v>1550679.9327731093</v>
      </c>
      <c r="AS26" s="8">
        <v>1534332.4033613445</v>
      </c>
      <c r="AT26" s="8">
        <v>1517984.8739495799</v>
      </c>
      <c r="AU26" s="8">
        <v>1501345.4243697478</v>
      </c>
      <c r="AV26" s="8">
        <v>1484122.1344537814</v>
      </c>
      <c r="AW26" s="8">
        <v>1466898.8445378148</v>
      </c>
      <c r="AX26" s="8">
        <v>1449091.7142857143</v>
      </c>
      <c r="AY26" s="8">
        <v>1430700.7436974789</v>
      </c>
      <c r="AZ26" s="8">
        <v>1411725.9327731091</v>
      </c>
      <c r="BA26" s="8">
        <v>1392167.2815126048</v>
      </c>
      <c r="BB26" s="8">
        <v>1372024.7899159661</v>
      </c>
      <c r="BC26" s="8">
        <v>1351006.5378151259</v>
      </c>
      <c r="BD26" s="8">
        <v>1329112.5252100839</v>
      </c>
      <c r="BE26" s="8">
        <v>1306342.7521008404</v>
      </c>
      <c r="BF26" s="8">
        <v>1282697.218487395</v>
      </c>
      <c r="BG26" s="8">
        <v>1257884.0042016807</v>
      </c>
      <c r="BH26" s="8">
        <v>1232195.0294117646</v>
      </c>
      <c r="BI26" s="8">
        <v>1205338.3739495799</v>
      </c>
      <c r="BJ26" s="8">
        <v>1177314.0378151261</v>
      </c>
      <c r="BK26" s="8">
        <v>1148122.0210084033</v>
      </c>
      <c r="BL26" s="8">
        <v>1117470.4033613445</v>
      </c>
      <c r="BM26" s="8">
        <v>1085651.1050420166</v>
      </c>
      <c r="BN26" s="8">
        <v>1052664.1260504199</v>
      </c>
      <c r="BO26" s="8">
        <v>1018217.5462184873</v>
      </c>
      <c r="BP26" s="8">
        <v>982311.36554621859</v>
      </c>
      <c r="BQ26" s="8">
        <v>945237.50420168054</v>
      </c>
      <c r="BR26" s="8">
        <v>906995.96218487388</v>
      </c>
      <c r="BS26" s="8">
        <v>867294.81932773092</v>
      </c>
      <c r="BT26" s="8">
        <v>826425.99579831935</v>
      </c>
      <c r="BU26" s="8">
        <v>784389.49159663869</v>
      </c>
      <c r="BV26" s="8">
        <v>741477.22689075628</v>
      </c>
      <c r="BW26" s="8">
        <v>697689.20168067224</v>
      </c>
      <c r="BX26" s="8">
        <v>653025.41596638656</v>
      </c>
      <c r="BY26" s="8">
        <v>608069.71008403366</v>
      </c>
      <c r="BZ26" s="8">
        <v>562822.08403361344</v>
      </c>
      <c r="CA26" s="8">
        <v>517282.53781512601</v>
      </c>
      <c r="CB26" s="8">
        <v>472326.83193277312</v>
      </c>
      <c r="CC26" s="8">
        <v>427663.04621848738</v>
      </c>
      <c r="CD26" s="8">
        <v>383875.02100840339</v>
      </c>
      <c r="CE26" s="8">
        <v>341546.59663865546</v>
      </c>
      <c r="CF26" s="8">
        <v>300677.77310924366</v>
      </c>
      <c r="CG26" s="8">
        <v>261560.47058823527</v>
      </c>
      <c r="CH26" s="8">
        <v>224778.5294117647</v>
      </c>
      <c r="CI26" s="8">
        <v>190623.86974789915</v>
      </c>
      <c r="CJ26" s="8">
        <v>159388.41176470587</v>
      </c>
      <c r="CK26" s="8">
        <v>131072.15546218489</v>
      </c>
      <c r="CL26" s="8">
        <v>105967.02100840336</v>
      </c>
      <c r="CM26" s="8">
        <v>84073.008403361338</v>
      </c>
      <c r="CN26" s="8">
        <v>65098.197478991591</v>
      </c>
      <c r="CO26" s="8">
        <v>49334.508403361346</v>
      </c>
      <c r="CP26" s="8">
        <v>36490.021008403361</v>
      </c>
      <c r="CQ26" s="8">
        <v>26272.815126050416</v>
      </c>
      <c r="CR26" s="8">
        <v>18390.970588235294</v>
      </c>
      <c r="CS26" s="8">
        <v>11968.726890756303</v>
      </c>
      <c r="CT26" s="8">
        <v>7589.9243697478978</v>
      </c>
      <c r="CU26" s="8">
        <v>3503.0420168067221</v>
      </c>
      <c r="CV26" s="8">
        <v>1459.6008403361345</v>
      </c>
      <c r="CW26" s="8">
        <v>875.76050420168053</v>
      </c>
      <c r="CX26" s="8">
        <v>291.92016806722688</v>
      </c>
    </row>
    <row r="27" spans="3:108">
      <c r="C27" s="8">
        <f t="shared" si="2"/>
        <v>1774</v>
      </c>
      <c r="D27" s="8">
        <v>8512</v>
      </c>
      <c r="E27" s="8">
        <v>974524</v>
      </c>
      <c r="F27" s="8">
        <v>949236.97668997652</v>
      </c>
      <c r="G27" s="8">
        <v>941073.65326340322</v>
      </c>
      <c r="H27" s="8">
        <v>932480.68123543123</v>
      </c>
      <c r="I27" s="8">
        <f t="shared" si="3"/>
        <v>0.97405192349288117</v>
      </c>
      <c r="J27" s="8">
        <f t="shared" si="4"/>
        <v>0.96567519451896844</v>
      </c>
      <c r="K27" s="8">
        <f t="shared" si="5"/>
        <v>0.95685758507274443</v>
      </c>
      <c r="L27" s="8">
        <v>14</v>
      </c>
      <c r="M27" s="8">
        <v>0.6825</v>
      </c>
      <c r="N27" s="8">
        <f t="shared" si="0"/>
        <v>0.99431818181818177</v>
      </c>
      <c r="O27" s="8">
        <f t="shared" si="1"/>
        <v>0.99431818181818177</v>
      </c>
      <c r="P27" s="8">
        <v>983036</v>
      </c>
      <c r="Q27" s="8">
        <v>977450.56818181812</v>
      </c>
      <c r="R27" s="8">
        <v>971435.48776223778</v>
      </c>
      <c r="S27" s="8">
        <v>964417.89393939381</v>
      </c>
      <c r="T27" s="8">
        <v>956970.65151515161</v>
      </c>
      <c r="U27" s="8">
        <v>949236.97668997652</v>
      </c>
      <c r="V27" s="8">
        <v>941073.65326340322</v>
      </c>
      <c r="W27" s="8">
        <v>932480.68123543123</v>
      </c>
      <c r="X27" s="8">
        <v>923744.49300699297</v>
      </c>
      <c r="Y27" s="8">
        <v>914721.87237762241</v>
      </c>
      <c r="Z27" s="8">
        <v>905556.03554778546</v>
      </c>
      <c r="AA27" s="8">
        <v>896246.98251748248</v>
      </c>
      <c r="AB27" s="8">
        <v>886937.92948717938</v>
      </c>
      <c r="AC27" s="8">
        <v>877772.09265734267</v>
      </c>
      <c r="AD27" s="8">
        <v>868606.25582750584</v>
      </c>
      <c r="AE27" s="8">
        <v>859583.63519813516</v>
      </c>
      <c r="AF27" s="8">
        <v>850561.01456876448</v>
      </c>
      <c r="AG27" s="8">
        <v>841824.82634032634</v>
      </c>
      <c r="AH27" s="8">
        <v>833231.85431235423</v>
      </c>
      <c r="AI27" s="8">
        <v>824925.31468531454</v>
      </c>
      <c r="AJ27" s="8">
        <v>816618.77505827497</v>
      </c>
      <c r="AK27" s="8">
        <v>808455.45163170167</v>
      </c>
      <c r="AL27" s="8">
        <v>800292.12820512813</v>
      </c>
      <c r="AM27" s="8">
        <v>792415.23717948713</v>
      </c>
      <c r="AN27" s="8">
        <v>784395.12995337986</v>
      </c>
      <c r="AO27" s="8">
        <v>776518.23892773886</v>
      </c>
      <c r="AP27" s="8">
        <v>768641.34790209786</v>
      </c>
      <c r="AQ27" s="8">
        <v>760764.45687645685</v>
      </c>
      <c r="AR27" s="8">
        <v>752744.34965034958</v>
      </c>
      <c r="AS27" s="8">
        <v>744724.24242424243</v>
      </c>
      <c r="AT27" s="8">
        <v>736560.91899766889</v>
      </c>
      <c r="AU27" s="8">
        <v>728111.16317016305</v>
      </c>
      <c r="AV27" s="8">
        <v>719661.40734265733</v>
      </c>
      <c r="AW27" s="8">
        <v>710925.21911421919</v>
      </c>
      <c r="AX27" s="8">
        <v>701902.59848484851</v>
      </c>
      <c r="AY27" s="8">
        <v>692593.54545454541</v>
      </c>
      <c r="AZ27" s="8">
        <v>682998.06002331001</v>
      </c>
      <c r="BA27" s="8">
        <v>673116.14219114219</v>
      </c>
      <c r="BB27" s="8">
        <v>662804.57575757569</v>
      </c>
      <c r="BC27" s="8">
        <v>652063.36072261061</v>
      </c>
      <c r="BD27" s="8">
        <v>640892.49708624708</v>
      </c>
      <c r="BE27" s="8">
        <v>629291.98484848486</v>
      </c>
      <c r="BF27" s="8">
        <v>617118.60780885781</v>
      </c>
      <c r="BG27" s="8">
        <v>604515.58216783206</v>
      </c>
      <c r="BH27" s="8">
        <v>591339.69172494172</v>
      </c>
      <c r="BI27" s="8">
        <v>577590.93648018641</v>
      </c>
      <c r="BJ27" s="8">
        <v>563269.31643356639</v>
      </c>
      <c r="BK27" s="8">
        <v>548231.61538461538</v>
      </c>
      <c r="BL27" s="8">
        <v>532621.04953379952</v>
      </c>
      <c r="BM27" s="8">
        <v>516437.61888111883</v>
      </c>
      <c r="BN27" s="8">
        <v>499538.10722610721</v>
      </c>
      <c r="BO27" s="8">
        <v>481922.51456876454</v>
      </c>
      <c r="BP27" s="8">
        <v>463734.05710955703</v>
      </c>
      <c r="BQ27" s="8">
        <v>444972.7348484848</v>
      </c>
      <c r="BR27" s="8">
        <v>425495.33158508153</v>
      </c>
      <c r="BS27" s="8">
        <v>405445.06351981353</v>
      </c>
      <c r="BT27" s="8">
        <v>384821.93065268063</v>
      </c>
      <c r="BU27" s="8">
        <v>363769.14918414917</v>
      </c>
      <c r="BV27" s="8">
        <v>342286.71911421907</v>
      </c>
      <c r="BW27" s="8">
        <v>320374.64044289046</v>
      </c>
      <c r="BX27" s="8">
        <v>298319.34557109559</v>
      </c>
      <c r="BY27" s="8">
        <v>276120.83449883451</v>
      </c>
      <c r="BZ27" s="8">
        <v>253779.10722610721</v>
      </c>
      <c r="CA27" s="8">
        <v>231723.81235431234</v>
      </c>
      <c r="CB27" s="8">
        <v>209811.7336829837</v>
      </c>
      <c r="CC27" s="8">
        <v>188329.30361305363</v>
      </c>
      <c r="CD27" s="8">
        <v>167562.95454545453</v>
      </c>
      <c r="CE27" s="8">
        <v>147512.68648018647</v>
      </c>
      <c r="CF27" s="8">
        <v>128321.7156177156</v>
      </c>
      <c r="CG27" s="8">
        <v>110276.47435897436</v>
      </c>
      <c r="CH27" s="8">
        <v>93520.178904428889</v>
      </c>
      <c r="CI27" s="8">
        <v>78196.045454545456</v>
      </c>
      <c r="CJ27" s="8">
        <v>64304.074009324017</v>
      </c>
      <c r="CK27" s="8">
        <v>51987.480769230766</v>
      </c>
      <c r="CL27" s="8">
        <v>41246.265734265733</v>
      </c>
      <c r="CM27" s="8">
        <v>31937.212703962701</v>
      </c>
      <c r="CN27" s="8">
        <v>24203.537878787876</v>
      </c>
      <c r="CO27" s="8">
        <v>17902.02505827506</v>
      </c>
      <c r="CP27" s="8">
        <v>12889.45804195804</v>
      </c>
      <c r="CQ27" s="8">
        <v>9022.6206293706291</v>
      </c>
      <c r="CR27" s="8">
        <v>5871.8642191142198</v>
      </c>
      <c r="CS27" s="8">
        <v>3723.621212121212</v>
      </c>
      <c r="CT27" s="8">
        <v>1718.5944055944055</v>
      </c>
      <c r="CU27" s="8">
        <v>716.08100233100231</v>
      </c>
      <c r="CV27" s="8">
        <v>429.64860139860139</v>
      </c>
      <c r="CW27" s="8">
        <v>143.21620046620046</v>
      </c>
      <c r="CX27" s="8">
        <v>0</v>
      </c>
    </row>
    <row r="28" spans="3:108">
      <c r="C28" s="8">
        <f t="shared" si="2"/>
        <v>1773</v>
      </c>
      <c r="D28" s="8">
        <v>39656</v>
      </c>
      <c r="E28" s="8">
        <v>852025</v>
      </c>
      <c r="F28" s="8">
        <v>858496.09538461547</v>
      </c>
      <c r="G28" s="8">
        <v>850657.14153846155</v>
      </c>
      <c r="H28" s="8">
        <v>842687.5384615385</v>
      </c>
      <c r="I28" s="8">
        <f t="shared" si="3"/>
        <v>1.0075949595195157</v>
      </c>
      <c r="J28" s="8">
        <f t="shared" si="4"/>
        <v>0.99839457942954912</v>
      </c>
      <c r="K28" s="8">
        <f t="shared" si="5"/>
        <v>0.98904085967141631</v>
      </c>
      <c r="L28" s="8">
        <v>15</v>
      </c>
      <c r="M28" s="8">
        <v>0.67830000000000001</v>
      </c>
      <c r="N28" s="8">
        <f t="shared" si="0"/>
        <v>0.99384615384615382</v>
      </c>
      <c r="O28" s="8">
        <f t="shared" si="1"/>
        <v>0.99384615384615382</v>
      </c>
      <c r="P28" s="8">
        <v>891681</v>
      </c>
      <c r="Q28" s="8">
        <v>886193.73230769229</v>
      </c>
      <c r="R28" s="8">
        <v>879791.92</v>
      </c>
      <c r="S28" s="8">
        <v>872998.15999999992</v>
      </c>
      <c r="T28" s="8">
        <v>865943.10153846152</v>
      </c>
      <c r="U28" s="8">
        <v>858496.09538461547</v>
      </c>
      <c r="V28" s="8">
        <v>850657.14153846155</v>
      </c>
      <c r="W28" s="8">
        <v>842687.5384615385</v>
      </c>
      <c r="X28" s="8">
        <v>834456.63692307705</v>
      </c>
      <c r="Y28" s="8">
        <v>826095.08615384623</v>
      </c>
      <c r="Z28" s="8">
        <v>817602.88615384605</v>
      </c>
      <c r="AA28" s="8">
        <v>809110.68615384621</v>
      </c>
      <c r="AB28" s="8">
        <v>800749.13538461539</v>
      </c>
      <c r="AC28" s="8">
        <v>792387.58461538469</v>
      </c>
      <c r="AD28" s="8">
        <v>784156.68307692313</v>
      </c>
      <c r="AE28" s="8">
        <v>775925.78153846145</v>
      </c>
      <c r="AF28" s="8">
        <v>767956.17846153851</v>
      </c>
      <c r="AG28" s="8">
        <v>760117.22461538459</v>
      </c>
      <c r="AH28" s="8">
        <v>752539.56923076918</v>
      </c>
      <c r="AI28" s="8">
        <v>744961.913846154</v>
      </c>
      <c r="AJ28" s="8">
        <v>737514.90769230772</v>
      </c>
      <c r="AK28" s="8">
        <v>730067.90153846156</v>
      </c>
      <c r="AL28" s="8">
        <v>722882.19384615391</v>
      </c>
      <c r="AM28" s="8">
        <v>715565.83692307689</v>
      </c>
      <c r="AN28" s="8">
        <v>708380.12923076923</v>
      </c>
      <c r="AO28" s="8">
        <v>701194.42153846147</v>
      </c>
      <c r="AP28" s="8">
        <v>694008.71384615381</v>
      </c>
      <c r="AQ28" s="8">
        <v>686692.35692307691</v>
      </c>
      <c r="AR28" s="8">
        <v>679376</v>
      </c>
      <c r="AS28" s="8">
        <v>671928.99384615384</v>
      </c>
      <c r="AT28" s="8">
        <v>664220.68923076917</v>
      </c>
      <c r="AU28" s="8">
        <v>656512.38461538451</v>
      </c>
      <c r="AV28" s="8">
        <v>648542.78153846157</v>
      </c>
      <c r="AW28" s="8">
        <v>640311.87999999989</v>
      </c>
      <c r="AX28" s="8">
        <v>631819.67999999993</v>
      </c>
      <c r="AY28" s="8">
        <v>623066.18153846147</v>
      </c>
      <c r="AZ28" s="8">
        <v>614051.38461538451</v>
      </c>
      <c r="BA28" s="8">
        <v>604644.64</v>
      </c>
      <c r="BB28" s="8">
        <v>594845.94769230776</v>
      </c>
      <c r="BC28" s="8">
        <v>584655.30769230775</v>
      </c>
      <c r="BD28" s="8">
        <v>574072.72</v>
      </c>
      <c r="BE28" s="8">
        <v>562967.53538461542</v>
      </c>
      <c r="BF28" s="8">
        <v>551470.4030769231</v>
      </c>
      <c r="BG28" s="8">
        <v>539450.67384615389</v>
      </c>
      <c r="BH28" s="8">
        <v>526908.34769230767</v>
      </c>
      <c r="BI28" s="8">
        <v>513843.4246153846</v>
      </c>
      <c r="BJ28" s="8">
        <v>500125.25538461533</v>
      </c>
      <c r="BK28" s="8">
        <v>485884.48923076922</v>
      </c>
      <c r="BL28" s="8">
        <v>471121.1261538461</v>
      </c>
      <c r="BM28" s="8">
        <v>455704.51692307688</v>
      </c>
      <c r="BN28" s="8">
        <v>439634.66153846157</v>
      </c>
      <c r="BO28" s="8">
        <v>423042.20923076913</v>
      </c>
      <c r="BP28" s="8">
        <v>405927.16</v>
      </c>
      <c r="BQ28" s="8">
        <v>388158.86461538461</v>
      </c>
      <c r="BR28" s="8">
        <v>369867.97230769234</v>
      </c>
      <c r="BS28" s="8">
        <v>351054.48307692306</v>
      </c>
      <c r="BT28" s="8">
        <v>331849.0461538462</v>
      </c>
      <c r="BU28" s="8">
        <v>312251.66153846151</v>
      </c>
      <c r="BV28" s="8">
        <v>292262.32923076925</v>
      </c>
      <c r="BW28" s="8">
        <v>272142.34769230773</v>
      </c>
      <c r="BX28" s="8">
        <v>251891.71692307692</v>
      </c>
      <c r="BY28" s="8">
        <v>231510.43692307692</v>
      </c>
      <c r="BZ28" s="8">
        <v>211390.45538461537</v>
      </c>
      <c r="CA28" s="8">
        <v>191401.12307692308</v>
      </c>
      <c r="CB28" s="8">
        <v>171803.73846153845</v>
      </c>
      <c r="CC28" s="8">
        <v>152859.6</v>
      </c>
      <c r="CD28" s="8">
        <v>134568.70769230768</v>
      </c>
      <c r="CE28" s="8">
        <v>117061.71076923076</v>
      </c>
      <c r="CF28" s="8">
        <v>100599.90769230769</v>
      </c>
      <c r="CG28" s="8">
        <v>85313.947692307687</v>
      </c>
      <c r="CH28" s="8">
        <v>71334.48000000001</v>
      </c>
      <c r="CI28" s="8">
        <v>58661.50461538462</v>
      </c>
      <c r="CJ28" s="8">
        <v>47425.670769230768</v>
      </c>
      <c r="CK28" s="8">
        <v>37626.978461538456</v>
      </c>
      <c r="CL28" s="8">
        <v>29134.778461538463</v>
      </c>
      <c r="CM28" s="8">
        <v>22079.719999999998</v>
      </c>
      <c r="CN28" s="8">
        <v>16331.153846153848</v>
      </c>
      <c r="CO28" s="8">
        <v>11758.430769230768</v>
      </c>
      <c r="CP28" s="8">
        <v>8230.9015384615377</v>
      </c>
      <c r="CQ28" s="8">
        <v>5356.6184615384627</v>
      </c>
      <c r="CR28" s="8">
        <v>3396.8799999999997</v>
      </c>
      <c r="CS28" s="8">
        <v>1567.7907692307692</v>
      </c>
      <c r="CT28" s="8">
        <v>653.2461538461539</v>
      </c>
      <c r="CU28" s="8">
        <v>391.94769230769231</v>
      </c>
      <c r="CV28" s="8">
        <v>130.6492307692308</v>
      </c>
      <c r="CW28" s="8">
        <v>0</v>
      </c>
      <c r="CX28" s="8">
        <v>0</v>
      </c>
    </row>
    <row r="29" spans="3:108">
      <c r="C29" s="8">
        <f t="shared" si="2"/>
        <v>1772</v>
      </c>
      <c r="D29" s="8">
        <v>20936</v>
      </c>
      <c r="E29" s="8">
        <v>419748</v>
      </c>
      <c r="F29" s="8">
        <v>423012.46115288226</v>
      </c>
      <c r="G29" s="8">
        <v>419049.35869084473</v>
      </c>
      <c r="H29" s="8">
        <v>414956.31844316679</v>
      </c>
      <c r="I29" s="8">
        <f t="shared" si="3"/>
        <v>1.0077771928702037</v>
      </c>
      <c r="J29" s="8">
        <f t="shared" si="4"/>
        <v>0.99833556965332704</v>
      </c>
      <c r="K29" s="8">
        <f t="shared" si="5"/>
        <v>0.98858438501950407</v>
      </c>
      <c r="L29" s="8">
        <v>16</v>
      </c>
      <c r="M29" s="8">
        <v>0.6734</v>
      </c>
      <c r="N29" s="8">
        <f t="shared" si="0"/>
        <v>0.99277605779153766</v>
      </c>
      <c r="O29" s="8">
        <f t="shared" si="1"/>
        <v>0.99277605779153766</v>
      </c>
      <c r="P29" s="8">
        <v>440684</v>
      </c>
      <c r="Q29" s="8">
        <v>437500.52425180597</v>
      </c>
      <c r="R29" s="8">
        <v>434122.14182515111</v>
      </c>
      <c r="S29" s="8">
        <v>430613.82161285565</v>
      </c>
      <c r="T29" s="8">
        <v>426910.59472209937</v>
      </c>
      <c r="U29" s="8">
        <v>423012.46115288226</v>
      </c>
      <c r="V29" s="8">
        <v>419049.35869084473</v>
      </c>
      <c r="W29" s="8">
        <v>414956.31844316679</v>
      </c>
      <c r="X29" s="8">
        <v>410798.30930266838</v>
      </c>
      <c r="Y29" s="8">
        <v>406575.3312693499</v>
      </c>
      <c r="Z29" s="8">
        <v>402352.35323603119</v>
      </c>
      <c r="AA29" s="8">
        <v>398194.34409553296</v>
      </c>
      <c r="AB29" s="8">
        <v>394036.33495503466</v>
      </c>
      <c r="AC29" s="8">
        <v>389943.2947073566</v>
      </c>
      <c r="AD29" s="8">
        <v>385850.2544596786</v>
      </c>
      <c r="AE29" s="8">
        <v>381887.15199764114</v>
      </c>
      <c r="AF29" s="8">
        <v>377989.01842842397</v>
      </c>
      <c r="AG29" s="8">
        <v>374220.82264484733</v>
      </c>
      <c r="AH29" s="8">
        <v>370452.62686127081</v>
      </c>
      <c r="AI29" s="8">
        <v>366749.39997051447</v>
      </c>
      <c r="AJ29" s="8">
        <v>363046.17307975818</v>
      </c>
      <c r="AK29" s="8">
        <v>359472.88397464249</v>
      </c>
      <c r="AL29" s="8">
        <v>355834.62597670645</v>
      </c>
      <c r="AM29" s="8">
        <v>352261.33687159076</v>
      </c>
      <c r="AN29" s="8">
        <v>348688.04776647501</v>
      </c>
      <c r="AO29" s="8">
        <v>345114.75866135926</v>
      </c>
      <c r="AP29" s="8">
        <v>341476.50066342321</v>
      </c>
      <c r="AQ29" s="8">
        <v>337838.24266548728</v>
      </c>
      <c r="AR29" s="8">
        <v>334135.01577473094</v>
      </c>
      <c r="AS29" s="8">
        <v>330301.85109833407</v>
      </c>
      <c r="AT29" s="8">
        <v>326468.68642193713</v>
      </c>
      <c r="AU29" s="8">
        <v>322505.58395989978</v>
      </c>
      <c r="AV29" s="8">
        <v>318412.54371222173</v>
      </c>
      <c r="AW29" s="8">
        <v>314189.56567890313</v>
      </c>
      <c r="AX29" s="8">
        <v>309836.64985994395</v>
      </c>
      <c r="AY29" s="8">
        <v>305353.79625534423</v>
      </c>
      <c r="AZ29" s="8">
        <v>300676.03597228363</v>
      </c>
      <c r="BA29" s="8">
        <v>295803.3690107622</v>
      </c>
      <c r="BB29" s="8">
        <v>290735.79537077987</v>
      </c>
      <c r="BC29" s="8">
        <v>285473.31505233672</v>
      </c>
      <c r="BD29" s="8">
        <v>279950.95916261245</v>
      </c>
      <c r="BE29" s="8">
        <v>274233.69659442722</v>
      </c>
      <c r="BF29" s="8">
        <v>268256.55845496093</v>
      </c>
      <c r="BG29" s="8">
        <v>262019.54474421346</v>
      </c>
      <c r="BH29" s="8">
        <v>255522.65546218486</v>
      </c>
      <c r="BI29" s="8">
        <v>248700.92171605484</v>
      </c>
      <c r="BJ29" s="8">
        <v>241619.3123986437</v>
      </c>
      <c r="BK29" s="8">
        <v>234277.82750995131</v>
      </c>
      <c r="BL29" s="8">
        <v>226611.49815715759</v>
      </c>
      <c r="BM29" s="8">
        <v>218620.32434026242</v>
      </c>
      <c r="BN29" s="8">
        <v>210369.2749520861</v>
      </c>
      <c r="BO29" s="8">
        <v>201858.34999262862</v>
      </c>
      <c r="BP29" s="8">
        <v>193022.58056906972</v>
      </c>
      <c r="BQ29" s="8">
        <v>183926.93557422969</v>
      </c>
      <c r="BR29" s="8">
        <v>174571.41500810851</v>
      </c>
      <c r="BS29" s="8">
        <v>165020.98776352647</v>
      </c>
      <c r="BT29" s="8">
        <v>155275.65384048354</v>
      </c>
      <c r="BU29" s="8">
        <v>145335.41323897982</v>
      </c>
      <c r="BV29" s="8">
        <v>135330.20374465577</v>
      </c>
      <c r="BW29" s="8">
        <v>125260.02535751142</v>
      </c>
      <c r="BX29" s="8">
        <v>115124.87807754679</v>
      </c>
      <c r="BY29" s="8">
        <v>105119.66858322275</v>
      </c>
      <c r="BZ29" s="8">
        <v>95179.427981718996</v>
      </c>
      <c r="CA29" s="8">
        <v>85434.094058676099</v>
      </c>
      <c r="CB29" s="8">
        <v>76013.604599734637</v>
      </c>
      <c r="CC29" s="8">
        <v>66917.959604894582</v>
      </c>
      <c r="CD29" s="8">
        <v>58212.127966976259</v>
      </c>
      <c r="CE29" s="8">
        <v>50026.047471620222</v>
      </c>
      <c r="CF29" s="8">
        <v>42424.687011646762</v>
      </c>
      <c r="CG29" s="8">
        <v>35473.015479876165</v>
      </c>
      <c r="CH29" s="8">
        <v>29171.032876308422</v>
      </c>
      <c r="CI29" s="8">
        <v>23583.70809376382</v>
      </c>
      <c r="CJ29" s="8">
        <v>18711.041132242368</v>
      </c>
      <c r="CK29" s="8">
        <v>14488.063098923782</v>
      </c>
      <c r="CL29" s="8">
        <v>10979.742886628335</v>
      </c>
      <c r="CM29" s="8">
        <v>8121.1116025357514</v>
      </c>
      <c r="CN29" s="8">
        <v>5847.2003538257395</v>
      </c>
      <c r="CO29" s="8">
        <v>4093.0402476780187</v>
      </c>
      <c r="CP29" s="8">
        <v>2663.7246056317267</v>
      </c>
      <c r="CQ29" s="8">
        <v>1689.1912133274361</v>
      </c>
      <c r="CR29" s="8">
        <v>779.62671384343207</v>
      </c>
      <c r="CS29" s="8">
        <v>324.84446410143005</v>
      </c>
      <c r="CT29" s="8">
        <v>194.90667846085802</v>
      </c>
      <c r="CU29" s="8">
        <v>64.968892820286015</v>
      </c>
      <c r="CV29" s="8">
        <v>0</v>
      </c>
      <c r="CW29" s="8">
        <v>0</v>
      </c>
      <c r="CX29" s="8">
        <v>0</v>
      </c>
    </row>
    <row r="30" spans="3:108">
      <c r="C30" s="8">
        <f t="shared" si="2"/>
        <v>1771</v>
      </c>
      <c r="D30" s="8">
        <v>11750</v>
      </c>
      <c r="E30" s="8">
        <v>231839</v>
      </c>
      <c r="F30" s="8">
        <v>233315.86724086723</v>
      </c>
      <c r="G30" s="8">
        <v>231036.96807246809</v>
      </c>
      <c r="H30" s="8">
        <v>228721.89590139591</v>
      </c>
      <c r="I30" s="8">
        <f t="shared" si="3"/>
        <v>1.0063702277911275</v>
      </c>
      <c r="J30" s="8">
        <f t="shared" si="4"/>
        <v>0.99654056510107492</v>
      </c>
      <c r="K30" s="8">
        <f t="shared" si="5"/>
        <v>0.98655487601911629</v>
      </c>
      <c r="L30" s="8">
        <v>17</v>
      </c>
      <c r="M30" s="8">
        <v>0.66820000000000002</v>
      </c>
      <c r="N30" s="8">
        <f t="shared" si="0"/>
        <v>0.99227799227799229</v>
      </c>
      <c r="O30" s="8">
        <f t="shared" si="1"/>
        <v>0.99227799227799229</v>
      </c>
      <c r="P30" s="8">
        <v>243589</v>
      </c>
      <c r="Q30" s="8">
        <v>241708.00386100388</v>
      </c>
      <c r="R30" s="8">
        <v>239754.66171666171</v>
      </c>
      <c r="S30" s="8">
        <v>237692.80056430056</v>
      </c>
      <c r="T30" s="8">
        <v>235522.42040392041</v>
      </c>
      <c r="U30" s="8">
        <v>233315.86724086723</v>
      </c>
      <c r="V30" s="8">
        <v>231036.96807246809</v>
      </c>
      <c r="W30" s="8">
        <v>228721.89590139591</v>
      </c>
      <c r="X30" s="8">
        <v>226370.65072765073</v>
      </c>
      <c r="Y30" s="8">
        <v>224019.40555390556</v>
      </c>
      <c r="Z30" s="8">
        <v>221704.3333828334</v>
      </c>
      <c r="AA30" s="8">
        <v>219389.26121176122</v>
      </c>
      <c r="AB30" s="8">
        <v>217110.36204336202</v>
      </c>
      <c r="AC30" s="8">
        <v>214831.46287496286</v>
      </c>
      <c r="AD30" s="8">
        <v>212624.90971190974</v>
      </c>
      <c r="AE30" s="8">
        <v>210454.52955152956</v>
      </c>
      <c r="AF30" s="8">
        <v>208356.49539649539</v>
      </c>
      <c r="AG30" s="8">
        <v>206258.46124146128</v>
      </c>
      <c r="AH30" s="8">
        <v>204196.6000891001</v>
      </c>
      <c r="AI30" s="8">
        <v>202134.73893673896</v>
      </c>
      <c r="AJ30" s="8">
        <v>200145.22378972379</v>
      </c>
      <c r="AK30" s="8">
        <v>198119.53564003564</v>
      </c>
      <c r="AL30" s="8">
        <v>196130.02049302048</v>
      </c>
      <c r="AM30" s="8">
        <v>194140.50534600532</v>
      </c>
      <c r="AN30" s="8">
        <v>192150.99019899021</v>
      </c>
      <c r="AO30" s="8">
        <v>190125.30204930203</v>
      </c>
      <c r="AP30" s="8">
        <v>188099.61389961391</v>
      </c>
      <c r="AQ30" s="8">
        <v>186037.75274725273</v>
      </c>
      <c r="AR30" s="8">
        <v>183903.5455895456</v>
      </c>
      <c r="AS30" s="8">
        <v>181769.33843183841</v>
      </c>
      <c r="AT30" s="8">
        <v>179562.78526878526</v>
      </c>
      <c r="AU30" s="8">
        <v>192150.99019899021</v>
      </c>
      <c r="AV30" s="8">
        <v>190125.30204930203</v>
      </c>
      <c r="AW30" s="8">
        <v>188099.61389961391</v>
      </c>
      <c r="AX30" s="8">
        <v>186037.75274725273</v>
      </c>
      <c r="AY30" s="8">
        <v>183903.5455895456</v>
      </c>
      <c r="AZ30" s="8">
        <v>181769.33843183841</v>
      </c>
      <c r="BA30" s="8">
        <v>179562.78526878526</v>
      </c>
      <c r="BB30" s="8">
        <f t="shared" ref="BB30:CT30" si="6">BA30*BC29/BB29</f>
        <v>176312.59854101509</v>
      </c>
      <c r="BC30" s="8">
        <f t="shared" si="6"/>
        <v>172901.90876495995</v>
      </c>
      <c r="BD30" s="8">
        <f t="shared" si="6"/>
        <v>169370.84170269108</v>
      </c>
      <c r="BE30" s="8">
        <f t="shared" si="6"/>
        <v>165679.27159213729</v>
      </c>
      <c r="BF30" s="8">
        <f t="shared" si="6"/>
        <v>161827.19843329853</v>
      </c>
      <c r="BG30" s="8">
        <f t="shared" si="6"/>
        <v>157814.62222617486</v>
      </c>
      <c r="BH30" s="8">
        <f t="shared" si="6"/>
        <v>153601.417208695</v>
      </c>
      <c r="BI30" s="8">
        <f t="shared" si="6"/>
        <v>149227.70914293019</v>
      </c>
      <c r="BJ30" s="8">
        <f t="shared" si="6"/>
        <v>144693.49802888039</v>
      </c>
      <c r="BK30" s="8">
        <f t="shared" si="6"/>
        <v>139958.65810447445</v>
      </c>
      <c r="BL30" s="8">
        <f t="shared" si="6"/>
        <v>135023.18936971232</v>
      </c>
      <c r="BM30" s="8">
        <f t="shared" si="6"/>
        <v>129927.21758666523</v>
      </c>
      <c r="BN30" s="8">
        <f t="shared" si="6"/>
        <v>124670.74275533318</v>
      </c>
      <c r="BO30" s="8">
        <f t="shared" si="6"/>
        <v>119213.63911364497</v>
      </c>
      <c r="BP30" s="8">
        <f t="shared" si="6"/>
        <v>113596.03242367182</v>
      </c>
      <c r="BQ30" s="8">
        <f t="shared" si="6"/>
        <v>107817.92268541369</v>
      </c>
      <c r="BR30" s="8">
        <f t="shared" si="6"/>
        <v>101919.43566094186</v>
      </c>
      <c r="BS30" s="8">
        <f t="shared" si="6"/>
        <v>95900.571350256301</v>
      </c>
      <c r="BT30" s="8">
        <f t="shared" si="6"/>
        <v>89761.329753357059</v>
      </c>
      <c r="BU30" s="8">
        <f t="shared" si="6"/>
        <v>83581.962394386559</v>
      </c>
      <c r="BV30" s="8">
        <f t="shared" si="6"/>
        <v>77362.469273344817</v>
      </c>
      <c r="BW30" s="8">
        <f t="shared" si="6"/>
        <v>71102.850390231848</v>
      </c>
      <c r="BX30" s="8">
        <f t="shared" si="6"/>
        <v>64923.483031261363</v>
      </c>
      <c r="BY30" s="8">
        <f t="shared" si="6"/>
        <v>58784.241434362113</v>
      </c>
      <c r="BZ30" s="8">
        <f t="shared" si="6"/>
        <v>52765.377123676575</v>
      </c>
      <c r="CA30" s="8">
        <f t="shared" si="6"/>
        <v>46947.141623347226</v>
      </c>
      <c r="CB30" s="8">
        <f t="shared" si="6"/>
        <v>41329.534933374045</v>
      </c>
      <c r="CC30" s="8">
        <f t="shared" si="6"/>
        <v>35952.682815828295</v>
      </c>
      <c r="CD30" s="8">
        <f t="shared" si="6"/>
        <v>30896.836794852443</v>
      </c>
      <c r="CE30" s="8">
        <f t="shared" si="6"/>
        <v>26202.122632517723</v>
      </c>
      <c r="CF30" s="8">
        <f t="shared" si="6"/>
        <v>21908.666090895375</v>
      </c>
      <c r="CG30" s="8">
        <f t="shared" si="6"/>
        <v>18016.467169985393</v>
      </c>
      <c r="CH30" s="8">
        <f t="shared" si="6"/>
        <v>14565.651631859013</v>
      </c>
      <c r="CI30" s="8">
        <f t="shared" si="6"/>
        <v>11556.21947651624</v>
      </c>
      <c r="CJ30" s="8">
        <f t="shared" si="6"/>
        <v>8948.0449418858407</v>
      </c>
      <c r="CK30" s="8">
        <f t="shared" si="6"/>
        <v>6781.2537900390435</v>
      </c>
      <c r="CL30" s="8">
        <f t="shared" si="6"/>
        <v>5015.7202589046183</v>
      </c>
      <c r="CM30" s="8">
        <f t="shared" si="6"/>
        <v>3611.3185864113243</v>
      </c>
      <c r="CN30" s="8">
        <f t="shared" si="6"/>
        <v>2527.9230104879275</v>
      </c>
      <c r="CO30" s="8">
        <f t="shared" si="6"/>
        <v>1645.1562449207149</v>
      </c>
      <c r="CP30" s="8">
        <f t="shared" si="6"/>
        <v>1043.2698138521605</v>
      </c>
      <c r="CQ30" s="8">
        <f t="shared" si="6"/>
        <v>481.50914485484333</v>
      </c>
      <c r="CR30" s="8">
        <f t="shared" si="6"/>
        <v>200.62881035618472</v>
      </c>
      <c r="CS30" s="8">
        <f t="shared" si="6"/>
        <v>120.37728621371083</v>
      </c>
      <c r="CT30" s="8">
        <f t="shared" si="6"/>
        <v>40.125762071236949</v>
      </c>
    </row>
    <row r="31" spans="3:108">
      <c r="L31" s="8">
        <v>18</v>
      </c>
      <c r="M31" s="8">
        <v>0.66279999999999994</v>
      </c>
      <c r="N31" s="8">
        <f t="shared" si="0"/>
        <v>0.99191858724932647</v>
      </c>
      <c r="O31" s="8">
        <f t="shared" si="1"/>
        <v>0.99191858724932647</v>
      </c>
      <c r="P31" s="8">
        <v>2055136.0904963205</v>
      </c>
      <c r="Q31" s="8">
        <v>2038527.6874902141</v>
      </c>
      <c r="R31" s="8">
        <v>2020996.5954282135</v>
      </c>
      <c r="S31" s="8">
        <v>2002542.8143103176</v>
      </c>
      <c r="T31" s="8">
        <v>1983781.4701737904</v>
      </c>
      <c r="U31" s="8">
        <v>1964405</v>
      </c>
      <c r="V31" s="8">
        <v>1944720.9668075778</v>
      </c>
      <c r="W31" s="8">
        <v>1924729.3705965241</v>
      </c>
      <c r="X31" s="8">
        <v>1904737.7743854702</v>
      </c>
      <c r="Y31" s="8">
        <v>1885053.7411930482</v>
      </c>
      <c r="Z31" s="8">
        <v>1865369.7080006262</v>
      </c>
      <c r="AA31" s="8">
        <v>1845993.2378268354</v>
      </c>
      <c r="AB31" s="8">
        <v>1826616.767653045</v>
      </c>
      <c r="AC31" s="8">
        <v>1807855.4235165177</v>
      </c>
      <c r="AD31" s="8">
        <v>1789401.6423986219</v>
      </c>
      <c r="AE31" s="8">
        <v>1771562.9873179893</v>
      </c>
      <c r="AF31" s="8">
        <v>1753724.332237357</v>
      </c>
      <c r="AG31" s="8">
        <v>1736193.2401753559</v>
      </c>
      <c r="AH31" s="8">
        <v>1718662.1481133548</v>
      </c>
      <c r="AI31" s="8">
        <v>1701746.1820886172</v>
      </c>
      <c r="AJ31" s="8">
        <v>1684522.6530452478</v>
      </c>
      <c r="AK31" s="8">
        <v>1667606.6870205102</v>
      </c>
      <c r="AL31" s="8">
        <v>1650690.7209957722</v>
      </c>
      <c r="AM31" s="8">
        <v>1633774.7549710346</v>
      </c>
      <c r="AN31" s="8">
        <v>1616551.2259276651</v>
      </c>
      <c r="AO31" s="8">
        <v>1599327.6968842959</v>
      </c>
      <c r="AP31" s="8">
        <v>1581796.6048222948</v>
      </c>
      <c r="AQ31" s="8">
        <v>1563650.3867230306</v>
      </c>
      <c r="AR31" s="8">
        <v>1545504.1686237664</v>
      </c>
      <c r="AS31" s="8">
        <v>1526742.8244872394</v>
      </c>
      <c r="AT31" s="8">
        <v>1507366.3543134488</v>
      </c>
      <c r="AU31" s="8">
        <v>1487374.7581023951</v>
      </c>
      <c r="AV31" s="8">
        <v>1466768.0358540784</v>
      </c>
      <c r="AW31" s="8">
        <v>1445546.1875684983</v>
      </c>
      <c r="AX31" s="8">
        <v>1423401.6502270235</v>
      </c>
      <c r="AY31" s="8">
        <v>1400334.4238296538</v>
      </c>
      <c r="AZ31" s="8">
        <v>1376344.5083763895</v>
      </c>
      <c r="BA31" s="8">
        <v>1351431.9038672303</v>
      </c>
      <c r="BB31" s="8">
        <v>1325289.0472835447</v>
      </c>
      <c r="BC31" s="8">
        <v>1298223.5016439641</v>
      </c>
      <c r="BD31" s="8">
        <v>1269927.7039298574</v>
      </c>
      <c r="BE31" s="8">
        <v>1240401.6541412242</v>
      </c>
      <c r="BF31" s="8">
        <v>1209645.3522780647</v>
      </c>
      <c r="BG31" s="8">
        <v>1177351.2353217471</v>
      </c>
      <c r="BH31" s="8">
        <v>1143826.8662909034</v>
      </c>
      <c r="BI31" s="8">
        <v>1109072.2451855331</v>
      </c>
      <c r="BJ31" s="8">
        <v>1072779.8089870049</v>
      </c>
      <c r="BK31" s="8">
        <v>1034949.5576953187</v>
      </c>
      <c r="BL31" s="8">
        <v>995889.054329106</v>
      </c>
      <c r="BM31" s="8">
        <v>955598.29888836702</v>
      </c>
      <c r="BN31" s="8">
        <v>913769.72835446999</v>
      </c>
      <c r="BO31" s="8">
        <v>870710.9057460468</v>
      </c>
      <c r="BP31" s="8">
        <v>826421.83106309699</v>
      </c>
      <c r="BQ31" s="8">
        <v>781210.06732425245</v>
      </c>
      <c r="BR31" s="8">
        <v>735075.61452951306</v>
      </c>
      <c r="BS31" s="8">
        <v>688018.47267887904</v>
      </c>
      <c r="BT31" s="8">
        <v>640653.76780961337</v>
      </c>
      <c r="BU31" s="8">
        <v>592981.49992171605</v>
      </c>
      <c r="BV31" s="8">
        <v>545001.66901518719</v>
      </c>
      <c r="BW31" s="8">
        <v>497636.96414592152</v>
      </c>
      <c r="BX31" s="8">
        <v>450579.82229528739</v>
      </c>
      <c r="BY31" s="8">
        <v>404445.36950054811</v>
      </c>
      <c r="BZ31" s="8">
        <v>359848.73179896676</v>
      </c>
      <c r="CA31" s="8">
        <v>316789.90919054335</v>
      </c>
      <c r="CB31" s="8">
        <v>275576.46469390957</v>
      </c>
      <c r="CC31" s="8">
        <v>236823.52434632854</v>
      </c>
      <c r="CD31" s="8">
        <v>200838.65116643187</v>
      </c>
      <c r="CE31" s="8">
        <v>167929.40817285117</v>
      </c>
      <c r="CF31" s="8">
        <v>138095.79536558641</v>
      </c>
      <c r="CG31" s="8">
        <v>111645.37576326918</v>
      </c>
      <c r="CH31" s="8">
        <v>88578.149365899517</v>
      </c>
      <c r="CI31" s="8">
        <v>68586.553154845809</v>
      </c>
      <c r="CJ31" s="8">
        <v>51978.150148739645</v>
      </c>
      <c r="CK31" s="8">
        <v>38445.377328949449</v>
      </c>
      <c r="CL31" s="8">
        <v>27680.671676843598</v>
      </c>
      <c r="CM31" s="8">
        <v>19376.47017379052</v>
      </c>
      <c r="CN31" s="8">
        <v>12610.083763895418</v>
      </c>
      <c r="CO31" s="8">
        <v>7996.6384844214836</v>
      </c>
      <c r="CP31" s="8">
        <v>3690.7562235791461</v>
      </c>
      <c r="CQ31" s="8">
        <v>1537.8150931579778</v>
      </c>
      <c r="CR31" s="8">
        <v>922.68905589478663</v>
      </c>
      <c r="CS31" s="8">
        <v>307.56301863159558</v>
      </c>
      <c r="CT31" s="8">
        <v>0</v>
      </c>
    </row>
    <row r="32" spans="3:108">
      <c r="C32" s="8">
        <f>1788-L32</f>
        <v>1770</v>
      </c>
      <c r="D32" s="8">
        <v>4242</v>
      </c>
      <c r="E32" s="8">
        <v>523906</v>
      </c>
      <c r="F32" s="8">
        <v>504831.07991619274</v>
      </c>
      <c r="G32" s="8">
        <v>499772.49386411253</v>
      </c>
      <c r="H32" s="8">
        <v>494634.86740496854</v>
      </c>
      <c r="I32" s="8">
        <f>F32/E32</f>
        <v>0.96359094936151279</v>
      </c>
      <c r="J32" s="8">
        <f>G32/E32</f>
        <v>0.95393542708828016</v>
      </c>
      <c r="K32" s="8">
        <f>H32/E32</f>
        <v>0.94412903727952824</v>
      </c>
      <c r="L32" s="8">
        <v>18</v>
      </c>
      <c r="M32" s="8">
        <v>0.66279999999999994</v>
      </c>
      <c r="N32" s="8">
        <f t="shared" si="0"/>
        <v>0.99191858724932647</v>
      </c>
      <c r="O32" s="8">
        <f t="shared" si="1"/>
        <v>1</v>
      </c>
      <c r="P32" s="8">
        <v>528148</v>
      </c>
      <c r="Q32" s="8">
        <v>523879.81801855727</v>
      </c>
      <c r="R32" s="8">
        <v>519374.51481592341</v>
      </c>
      <c r="S32" s="8">
        <v>514632.09039209812</v>
      </c>
      <c r="T32" s="8">
        <v>509810.62556120922</v>
      </c>
      <c r="U32" s="8">
        <v>504831.07991619274</v>
      </c>
      <c r="V32" s="8">
        <v>499772.49386411253</v>
      </c>
      <c r="W32" s="8">
        <v>494634.86740496854</v>
      </c>
      <c r="X32" s="8">
        <v>489497.2409458246</v>
      </c>
      <c r="Y32" s="8">
        <v>484438.65489374439</v>
      </c>
      <c r="Z32" s="8">
        <v>479380.06884166424</v>
      </c>
      <c r="AA32" s="8">
        <v>474400.52319664764</v>
      </c>
      <c r="AB32" s="8">
        <v>469420.97755163122</v>
      </c>
      <c r="AC32" s="8">
        <v>464599.51272074226</v>
      </c>
      <c r="AD32" s="8">
        <v>459857.08829691709</v>
      </c>
      <c r="AE32" s="8">
        <v>455272.74468721932</v>
      </c>
      <c r="AF32" s="8">
        <v>450688.40107752173</v>
      </c>
      <c r="AG32" s="8">
        <v>446183.0978748877</v>
      </c>
      <c r="AH32" s="8">
        <v>441677.79467225377</v>
      </c>
      <c r="AI32" s="8">
        <v>437330.57228374737</v>
      </c>
      <c r="AJ32" s="8">
        <v>432904.30948817712</v>
      </c>
      <c r="AK32" s="8">
        <v>428557.08709967072</v>
      </c>
      <c r="AL32" s="8">
        <v>424209.86471116432</v>
      </c>
      <c r="AM32" s="8">
        <v>419862.64232265786</v>
      </c>
      <c r="AN32" s="8">
        <v>415436.37952708761</v>
      </c>
      <c r="AO32" s="8">
        <v>411010.11673151754</v>
      </c>
      <c r="AP32" s="8">
        <v>406504.8135288835</v>
      </c>
      <c r="AQ32" s="8">
        <v>401841.42951212206</v>
      </c>
      <c r="AR32" s="8">
        <v>397178.04549536068</v>
      </c>
      <c r="AS32" s="8">
        <v>392356.58066447172</v>
      </c>
      <c r="AT32" s="8">
        <v>387377.03501945524</v>
      </c>
      <c r="AU32" s="8">
        <v>382239.40856031125</v>
      </c>
      <c r="AV32" s="8">
        <v>376943.70128703979</v>
      </c>
      <c r="AW32" s="8">
        <v>371489.91319964081</v>
      </c>
      <c r="AX32" s="8">
        <v>365799.00389105058</v>
      </c>
      <c r="AY32" s="8">
        <v>359870.97336126911</v>
      </c>
      <c r="AZ32" s="8">
        <v>353705.82161029632</v>
      </c>
      <c r="BA32" s="8">
        <v>347303.54863813228</v>
      </c>
      <c r="BB32" s="8">
        <v>340585.11403771327</v>
      </c>
      <c r="BC32" s="8">
        <v>333629.55821610295</v>
      </c>
      <c r="BD32" s="8">
        <v>326357.84076623764</v>
      </c>
      <c r="BE32" s="8">
        <v>318769.96168811736</v>
      </c>
      <c r="BF32" s="8">
        <v>310865.92098174198</v>
      </c>
      <c r="BG32" s="8">
        <v>302566.67824004788</v>
      </c>
      <c r="BH32" s="8">
        <v>293951.27387009881</v>
      </c>
      <c r="BI32" s="8">
        <v>285019.70787189458</v>
      </c>
      <c r="BJ32" s="8">
        <v>275692.93983837171</v>
      </c>
      <c r="BK32" s="8">
        <v>265970.96976953011</v>
      </c>
      <c r="BL32" s="8">
        <v>255932.83807243337</v>
      </c>
      <c r="BM32" s="8">
        <v>245578.54474708167</v>
      </c>
      <c r="BN32" s="8">
        <v>234829.04938641124</v>
      </c>
      <c r="BO32" s="8">
        <v>223763.39239748579</v>
      </c>
      <c r="BP32" s="8">
        <v>212381.57378030528</v>
      </c>
      <c r="BQ32" s="8">
        <v>200762.63394193354</v>
      </c>
      <c r="BR32" s="8">
        <v>188906.57288237053</v>
      </c>
      <c r="BS32" s="8">
        <v>176813.39060161629</v>
      </c>
      <c r="BT32" s="8">
        <v>164641.16791379827</v>
      </c>
      <c r="BU32" s="8">
        <v>152389.90481891649</v>
      </c>
      <c r="BV32" s="8">
        <v>140059.60131697095</v>
      </c>
      <c r="BW32" s="8">
        <v>127887.37862915294</v>
      </c>
      <c r="BX32" s="8">
        <v>115794.19634839868</v>
      </c>
      <c r="BY32" s="8">
        <v>103938.13528883568</v>
      </c>
      <c r="BZ32" s="8">
        <v>92477.276264591448</v>
      </c>
      <c r="CA32" s="8">
        <v>81411.619275665958</v>
      </c>
      <c r="CB32" s="8">
        <v>70820.204729123012</v>
      </c>
      <c r="CC32" s="8">
        <v>60861.113439090092</v>
      </c>
      <c r="CD32" s="8">
        <v>51613.385812630942</v>
      </c>
      <c r="CE32" s="8">
        <v>43156.062256809339</v>
      </c>
      <c r="CF32" s="8">
        <v>35489.142771625258</v>
      </c>
      <c r="CG32" s="8">
        <v>28691.667764142469</v>
      </c>
      <c r="CH32" s="8">
        <v>22763.637234360969</v>
      </c>
      <c r="CI32" s="8">
        <v>17626.010775217001</v>
      </c>
      <c r="CJ32" s="8">
        <v>13357.828793774319</v>
      </c>
      <c r="CK32" s="8">
        <v>9880.0508829691717</v>
      </c>
      <c r="CL32" s="8">
        <v>7113.636635737802</v>
      </c>
      <c r="CM32" s="8">
        <v>4979.545645016462</v>
      </c>
      <c r="CN32" s="8">
        <v>3240.6566896138884</v>
      </c>
      <c r="CO32" s="8">
        <v>2055.0505836575876</v>
      </c>
      <c r="CP32" s="8">
        <v>948.48488476504019</v>
      </c>
      <c r="CQ32" s="8">
        <v>395.20203531876683</v>
      </c>
      <c r="CR32" s="8">
        <v>237.12122119126005</v>
      </c>
      <c r="CS32" s="8">
        <v>79.040407063753378</v>
      </c>
      <c r="CT32" s="8">
        <v>0</v>
      </c>
    </row>
    <row r="33" spans="3:98">
      <c r="C33" s="8">
        <f>1788-L33</f>
        <v>1769</v>
      </c>
      <c r="D33" s="8">
        <v>14235</v>
      </c>
      <c r="E33" s="8">
        <v>468238</v>
      </c>
      <c r="F33" s="8">
        <v>460271.08916716964</v>
      </c>
      <c r="G33" s="8">
        <v>455539.53439951729</v>
      </c>
      <c r="H33" s="8">
        <v>450807.97963186482</v>
      </c>
      <c r="I33" s="8">
        <f>F33/E33</f>
        <v>0.98298533900958407</v>
      </c>
      <c r="J33" s="8">
        <f>G33/E33</f>
        <v>0.97288031812778397</v>
      </c>
      <c r="K33" s="8">
        <f>H33/E33</f>
        <v>0.96277529724598343</v>
      </c>
      <c r="L33" s="8">
        <v>19</v>
      </c>
      <c r="M33" s="8">
        <v>0.65710000000000002</v>
      </c>
      <c r="N33" s="8">
        <f t="shared" si="0"/>
        <v>0.99140012070006034</v>
      </c>
      <c r="O33" s="8">
        <f t="shared" si="1"/>
        <v>0.99140012070006045</v>
      </c>
      <c r="P33" s="8">
        <v>482473</v>
      </c>
      <c r="Q33" s="8">
        <v>478323.79043452023</v>
      </c>
      <c r="R33" s="8">
        <v>473956.20141822577</v>
      </c>
      <c r="S33" s="8">
        <v>469515.81925165968</v>
      </c>
      <c r="T33" s="8">
        <v>464929.85078455042</v>
      </c>
      <c r="U33" s="8">
        <v>460271.08916716964</v>
      </c>
      <c r="V33" s="8">
        <v>455539.53439951729</v>
      </c>
      <c r="W33" s="8">
        <v>450807.97963186482</v>
      </c>
      <c r="X33" s="8">
        <v>446149.21801448398</v>
      </c>
      <c r="Y33" s="8">
        <v>441490.45639710326</v>
      </c>
      <c r="Z33" s="8">
        <v>436904.48792999395</v>
      </c>
      <c r="AA33" s="8">
        <v>432318.51946288481</v>
      </c>
      <c r="AB33" s="8">
        <v>427878.13729631866</v>
      </c>
      <c r="AC33" s="8">
        <v>423510.54828002414</v>
      </c>
      <c r="AD33" s="8">
        <v>419288.54556427279</v>
      </c>
      <c r="AE33" s="8">
        <v>415066.54284852149</v>
      </c>
      <c r="AF33" s="8">
        <v>410917.33328304166</v>
      </c>
      <c r="AG33" s="8">
        <v>406768.12371756183</v>
      </c>
      <c r="AH33" s="8">
        <v>402764.50045262522</v>
      </c>
      <c r="AI33" s="8">
        <v>398688.08403741708</v>
      </c>
      <c r="AJ33" s="8">
        <v>394684.46077248047</v>
      </c>
      <c r="AK33" s="8">
        <v>390680.83750754374</v>
      </c>
      <c r="AL33" s="8">
        <v>386677.21424260718</v>
      </c>
      <c r="AM33" s="8">
        <v>382600.79782739893</v>
      </c>
      <c r="AN33" s="8">
        <v>378524.38141219079</v>
      </c>
      <c r="AO33" s="8">
        <v>374375.17184671096</v>
      </c>
      <c r="AP33" s="8">
        <v>370080.37598068803</v>
      </c>
      <c r="AQ33" s="8">
        <v>365785.58011466503</v>
      </c>
      <c r="AR33" s="8">
        <v>361345.19794809906</v>
      </c>
      <c r="AS33" s="8">
        <v>356759.22948098974</v>
      </c>
      <c r="AT33" s="8">
        <v>352027.67471333739</v>
      </c>
      <c r="AU33" s="8">
        <v>347150.53364514187</v>
      </c>
      <c r="AV33" s="8">
        <v>342127.80627640313</v>
      </c>
      <c r="AW33" s="8">
        <v>336886.69945684978</v>
      </c>
      <c r="AX33" s="8">
        <v>331427.21318648162</v>
      </c>
      <c r="AY33" s="8">
        <v>325749.34746529878</v>
      </c>
      <c r="AZ33" s="8">
        <v>319853.1022933012</v>
      </c>
      <c r="BA33" s="8">
        <v>313665.6845202173</v>
      </c>
      <c r="BB33" s="8">
        <v>307259.88729631866</v>
      </c>
      <c r="BC33" s="8">
        <v>300562.91747133376</v>
      </c>
      <c r="BD33" s="8">
        <v>293574.77504526253</v>
      </c>
      <c r="BE33" s="8">
        <v>286295.46001810499</v>
      </c>
      <c r="BF33" s="8">
        <v>278652.1792395896</v>
      </c>
      <c r="BG33" s="8">
        <v>270717.72585998796</v>
      </c>
      <c r="BH33" s="8">
        <v>262492.09987929993</v>
      </c>
      <c r="BI33" s="8">
        <v>253902.50814725412</v>
      </c>
      <c r="BJ33" s="8">
        <v>244948.95066385038</v>
      </c>
      <c r="BK33" s="8">
        <v>235704.22057936032</v>
      </c>
      <c r="BL33" s="8">
        <v>226168.31789378394</v>
      </c>
      <c r="BM33" s="8">
        <v>216268.44945684972</v>
      </c>
      <c r="BN33" s="8">
        <v>206077.40841882926</v>
      </c>
      <c r="BO33" s="8">
        <v>195595.1947797224</v>
      </c>
      <c r="BP33" s="8">
        <v>184894.60168980088</v>
      </c>
      <c r="BQ33" s="8">
        <v>173975.62914906457</v>
      </c>
      <c r="BR33" s="8">
        <v>162838.2771575136</v>
      </c>
      <c r="BS33" s="8">
        <v>151628.13201569102</v>
      </c>
      <c r="BT33" s="8">
        <v>140345.19372359687</v>
      </c>
      <c r="BU33" s="8">
        <v>128989.46228123114</v>
      </c>
      <c r="BV33" s="8">
        <v>117779.31713940858</v>
      </c>
      <c r="BW33" s="8">
        <v>106641.96514785757</v>
      </c>
      <c r="BX33" s="8">
        <v>95722.992607121312</v>
      </c>
      <c r="BY33" s="8">
        <v>85167.985817742912</v>
      </c>
      <c r="BZ33" s="8">
        <v>74976.944779722398</v>
      </c>
      <c r="CA33" s="8">
        <v>65222.662643331321</v>
      </c>
      <c r="CB33" s="8">
        <v>56050.725709112863</v>
      </c>
      <c r="CC33" s="8">
        <v>47533.927127338568</v>
      </c>
      <c r="CD33" s="8">
        <v>39745.060048280029</v>
      </c>
      <c r="CE33" s="8">
        <v>32684.124471937241</v>
      </c>
      <c r="CF33" s="8">
        <v>26423.913548581775</v>
      </c>
      <c r="CG33" s="8">
        <v>20964.42727821364</v>
      </c>
      <c r="CH33" s="8">
        <v>16232.872510561256</v>
      </c>
      <c r="CI33" s="8">
        <v>12302.042395896198</v>
      </c>
      <c r="CJ33" s="8">
        <v>9099.1437839468927</v>
      </c>
      <c r="CK33" s="8">
        <v>6551.3835244417623</v>
      </c>
      <c r="CL33" s="8">
        <v>4585.9684671092346</v>
      </c>
      <c r="CM33" s="8">
        <v>2984.5191611345813</v>
      </c>
      <c r="CN33" s="8">
        <v>1892.6219070609536</v>
      </c>
      <c r="CO33" s="8">
        <v>873.51780325890161</v>
      </c>
      <c r="CP33" s="8">
        <v>363.96575135787572</v>
      </c>
      <c r="CQ33" s="8">
        <v>218.3794508147254</v>
      </c>
      <c r="CR33" s="8">
        <v>72.793150271575144</v>
      </c>
      <c r="CS33" s="8">
        <v>0</v>
      </c>
      <c r="CT33" s="8">
        <v>0</v>
      </c>
    </row>
    <row r="34" spans="3:98">
      <c r="C34" s="8">
        <f>1788-L34</f>
        <v>1768</v>
      </c>
      <c r="D34" s="8">
        <v>5240</v>
      </c>
      <c r="E34" s="8">
        <v>532287</v>
      </c>
      <c r="F34" s="8">
        <v>511922.68543600675</v>
      </c>
      <c r="G34" s="8">
        <v>506605.4955105767</v>
      </c>
      <c r="H34" s="8">
        <v>501370.10850707657</v>
      </c>
      <c r="I34" s="8">
        <f>F34/E34</f>
        <v>0.96174185248936528</v>
      </c>
      <c r="J34" s="8">
        <f>G34/E34</f>
        <v>0.95175252356449946</v>
      </c>
      <c r="K34" s="8">
        <f>H34/E34</f>
        <v>0.94191687662309354</v>
      </c>
      <c r="L34" s="8">
        <v>20</v>
      </c>
      <c r="M34" s="8">
        <v>0.65110000000000001</v>
      </c>
      <c r="N34" s="8">
        <f t="shared" si="0"/>
        <v>0.99086896971541616</v>
      </c>
      <c r="O34" s="8">
        <f t="shared" si="1"/>
        <v>0.99086896971541627</v>
      </c>
      <c r="P34" s="8">
        <v>537527</v>
      </c>
      <c r="Q34" s="8">
        <v>532618.8246842185</v>
      </c>
      <c r="R34" s="8">
        <v>527628.84644650738</v>
      </c>
      <c r="S34" s="8">
        <v>522475.26236493688</v>
      </c>
      <c r="T34" s="8">
        <v>517239.87536143657</v>
      </c>
      <c r="U34" s="8">
        <v>511922.68543600675</v>
      </c>
      <c r="V34" s="8">
        <v>506605.4955105767</v>
      </c>
      <c r="W34" s="8">
        <v>501370.10850707657</v>
      </c>
      <c r="X34" s="8">
        <v>496134.72150357632</v>
      </c>
      <c r="Y34" s="8">
        <v>490981.13742200576</v>
      </c>
      <c r="Z34" s="8">
        <v>485827.5533404352</v>
      </c>
      <c r="AA34" s="8">
        <v>480837.57510272402</v>
      </c>
      <c r="AB34" s="8">
        <v>475929.39978694258</v>
      </c>
      <c r="AC34" s="8">
        <v>471184.83031502046</v>
      </c>
      <c r="AD34" s="8">
        <v>466440.26084309851</v>
      </c>
      <c r="AE34" s="8">
        <v>461777.49429310608</v>
      </c>
      <c r="AF34" s="8">
        <v>457114.72774311365</v>
      </c>
      <c r="AG34" s="8">
        <v>452615.5670369807</v>
      </c>
      <c r="AH34" s="8">
        <v>448034.60340891796</v>
      </c>
      <c r="AI34" s="8">
        <v>443535.4427027849</v>
      </c>
      <c r="AJ34" s="8">
        <v>439036.2819966519</v>
      </c>
      <c r="AK34" s="8">
        <v>434537.12129051896</v>
      </c>
      <c r="AL34" s="8">
        <v>429956.15766245621</v>
      </c>
      <c r="AM34" s="8">
        <v>425375.19403439359</v>
      </c>
      <c r="AN34" s="8">
        <v>420712.42748440115</v>
      </c>
      <c r="AO34" s="8">
        <v>415886.0550905494</v>
      </c>
      <c r="AP34" s="8">
        <v>411059.68269669753</v>
      </c>
      <c r="AQ34" s="8">
        <v>406069.70445898641</v>
      </c>
      <c r="AR34" s="8">
        <v>400916.12037741591</v>
      </c>
      <c r="AS34" s="8">
        <v>395598.93045198597</v>
      </c>
      <c r="AT34" s="8">
        <v>390118.13468269672</v>
      </c>
      <c r="AU34" s="8">
        <v>384473.73306954798</v>
      </c>
      <c r="AV34" s="8">
        <v>378583.92269061023</v>
      </c>
      <c r="AW34" s="8">
        <v>372448.70354588341</v>
      </c>
      <c r="AX34" s="8">
        <v>366068.07563536754</v>
      </c>
      <c r="AY34" s="8">
        <v>359442.03895906254</v>
      </c>
      <c r="AZ34" s="8">
        <v>352488.79059503879</v>
      </c>
      <c r="BA34" s="8">
        <v>345290.13346522598</v>
      </c>
      <c r="BB34" s="8">
        <v>337764.26464769442</v>
      </c>
      <c r="BC34" s="8">
        <v>329911.18414244405</v>
      </c>
      <c r="BD34" s="8">
        <v>321730.89194947493</v>
      </c>
      <c r="BE34" s="8">
        <v>313141.58514685737</v>
      </c>
      <c r="BF34" s="8">
        <v>304225.06665652111</v>
      </c>
      <c r="BG34" s="8">
        <v>294981.33647846594</v>
      </c>
      <c r="BH34" s="8">
        <v>285328.59169076243</v>
      </c>
      <c r="BI34" s="8">
        <v>275266.83229341044</v>
      </c>
      <c r="BJ34" s="8">
        <v>264877.86120833969</v>
      </c>
      <c r="BK34" s="8">
        <v>254161.67843555013</v>
      </c>
      <c r="BL34" s="8">
        <v>243036.48105311213</v>
      </c>
      <c r="BM34" s="8">
        <v>231584.07198295541</v>
      </c>
      <c r="BN34" s="8">
        <v>219804.45122507989</v>
      </c>
      <c r="BO34" s="8">
        <v>207779.42170141533</v>
      </c>
      <c r="BP34" s="8">
        <v>195508.98341196164</v>
      </c>
      <c r="BQ34" s="8">
        <v>182993.13635671893</v>
      </c>
      <c r="BR34" s="8">
        <v>170395.48637954649</v>
      </c>
      <c r="BS34" s="8">
        <v>157716.03348044437</v>
      </c>
      <c r="BT34" s="8">
        <v>144954.77765941256</v>
      </c>
      <c r="BU34" s="8">
        <v>132357.12768224016</v>
      </c>
      <c r="BV34" s="8">
        <v>119841.28062699741</v>
      </c>
      <c r="BW34" s="8">
        <v>107570.84233754374</v>
      </c>
      <c r="BX34" s="8">
        <v>95709.418657738555</v>
      </c>
      <c r="BY34" s="8">
        <v>84257.009587581793</v>
      </c>
      <c r="BZ34" s="8">
        <v>73295.418049003187</v>
      </c>
      <c r="CA34" s="8">
        <v>62988.249885862118</v>
      </c>
      <c r="CB34" s="8">
        <v>53417.308020088261</v>
      </c>
      <c r="CC34" s="8">
        <v>44664.395373611325</v>
      </c>
      <c r="CD34" s="8">
        <v>36729.511946431296</v>
      </c>
      <c r="CE34" s="8">
        <v>29694.460660477856</v>
      </c>
      <c r="CF34" s="8">
        <v>23559.241515751026</v>
      </c>
      <c r="CG34" s="8">
        <v>18242.051590321109</v>
      </c>
      <c r="CH34" s="8">
        <v>13824.69380611779</v>
      </c>
      <c r="CI34" s="8">
        <v>10225.365241211384</v>
      </c>
      <c r="CJ34" s="8">
        <v>7362.2629736721947</v>
      </c>
      <c r="CK34" s="8">
        <v>5153.5840815705369</v>
      </c>
      <c r="CL34" s="8">
        <v>3353.9197991173337</v>
      </c>
      <c r="CM34" s="8">
        <v>2126.8759701719673</v>
      </c>
      <c r="CN34" s="8">
        <v>981.63506315629263</v>
      </c>
      <c r="CO34" s="8">
        <v>409.01460964845535</v>
      </c>
      <c r="CP34" s="8">
        <v>245.40876578907316</v>
      </c>
      <c r="CQ34" s="8">
        <v>81.802921929691067</v>
      </c>
    </row>
    <row r="35" spans="3:98">
      <c r="L35" s="8">
        <v>21</v>
      </c>
      <c r="M35" s="8">
        <v>0.64500000000000002</v>
      </c>
      <c r="N35" s="8">
        <f t="shared" si="0"/>
        <v>0.99063123944094611</v>
      </c>
      <c r="O35" s="8">
        <f t="shared" si="1"/>
        <v>0.99063123944094611</v>
      </c>
      <c r="P35" s="8">
        <v>1820439.0130792833</v>
      </c>
      <c r="Q35" s="8">
        <v>1803383.7558533831</v>
      </c>
      <c r="R35" s="8">
        <v>1785769.3098659781</v>
      </c>
      <c r="S35" s="8">
        <v>1767875.2694978202</v>
      </c>
      <c r="T35" s="8">
        <v>1749701.6347489103</v>
      </c>
      <c r="U35" s="8">
        <v>1731528</v>
      </c>
      <c r="V35" s="8">
        <v>1713633.9596318426</v>
      </c>
      <c r="W35" s="8">
        <v>1695739.9192636851</v>
      </c>
      <c r="X35" s="8">
        <v>1678125.4732762799</v>
      </c>
      <c r="Y35" s="8">
        <v>1660511.0272888748</v>
      </c>
      <c r="Z35" s="8">
        <v>1643455.7700629747</v>
      </c>
      <c r="AA35" s="8">
        <v>1626680.1072178269</v>
      </c>
      <c r="AB35" s="8">
        <v>1610463.6331341839</v>
      </c>
      <c r="AC35" s="8">
        <v>1594247.1590505415</v>
      </c>
      <c r="AD35" s="8">
        <v>1578310.2793476509</v>
      </c>
      <c r="AE35" s="8">
        <v>1562373.3996447604</v>
      </c>
      <c r="AF35" s="8">
        <v>1546995.7087033752</v>
      </c>
      <c r="AG35" s="8">
        <v>1531338.4233812371</v>
      </c>
      <c r="AH35" s="8">
        <v>1515960.7324398519</v>
      </c>
      <c r="AI35" s="8">
        <v>1500583.0414984662</v>
      </c>
      <c r="AJ35" s="8">
        <v>1485205.3505570809</v>
      </c>
      <c r="AK35" s="8">
        <v>1469548.0652349428</v>
      </c>
      <c r="AL35" s="8">
        <v>1453890.7799128052</v>
      </c>
      <c r="AM35" s="8">
        <v>1437953.9002099147</v>
      </c>
      <c r="AN35" s="8">
        <v>1421457.8317455193</v>
      </c>
      <c r="AO35" s="8">
        <v>1404961.7632811239</v>
      </c>
      <c r="AP35" s="8">
        <v>1387906.506055224</v>
      </c>
      <c r="AQ35" s="8">
        <v>1370292.0600678187</v>
      </c>
      <c r="AR35" s="8">
        <v>1352118.4253189086</v>
      </c>
      <c r="AS35" s="8">
        <v>1333385.6018084937</v>
      </c>
      <c r="AT35" s="8">
        <v>1314093.5895365737</v>
      </c>
      <c r="AU35" s="8">
        <v>1293962.7941223965</v>
      </c>
      <c r="AV35" s="8">
        <v>1272993.2155659618</v>
      </c>
      <c r="AW35" s="8">
        <v>1251184.8538672698</v>
      </c>
      <c r="AX35" s="8">
        <v>1228537.7090263204</v>
      </c>
      <c r="AY35" s="8">
        <v>1204772.186662361</v>
      </c>
      <c r="AZ35" s="8">
        <v>1180167.8811561442</v>
      </c>
      <c r="BA35" s="8">
        <v>1154445.1981269177</v>
      </c>
      <c r="BB35" s="8">
        <v>1127604.1375746813</v>
      </c>
      <c r="BC35" s="8">
        <v>1099644.699499435</v>
      </c>
      <c r="BD35" s="8">
        <v>1070287.2895204264</v>
      </c>
      <c r="BE35" s="8">
        <v>1039811.5020184082</v>
      </c>
      <c r="BF35" s="8">
        <v>1008217.3369933798</v>
      </c>
      <c r="BG35" s="8">
        <v>975225.20006458927</v>
      </c>
      <c r="BH35" s="8">
        <v>940835.09123203647</v>
      </c>
      <c r="BI35" s="8">
        <v>905326.60487647366</v>
      </c>
      <c r="BJ35" s="8">
        <v>868699.74099790107</v>
      </c>
      <c r="BK35" s="8">
        <v>830674.90521556616</v>
      </c>
      <c r="BL35" s="8">
        <v>791531.69191022147</v>
      </c>
      <c r="BM35" s="8">
        <v>751270.10108186677</v>
      </c>
      <c r="BN35" s="8">
        <v>710169.72711125482</v>
      </c>
      <c r="BO35" s="8">
        <v>668230.56999838538</v>
      </c>
      <c r="BP35" s="8">
        <v>625452.6297432587</v>
      </c>
      <c r="BQ35" s="8">
        <v>582395.09510737949</v>
      </c>
      <c r="BR35" s="8">
        <v>539057.96609074774</v>
      </c>
      <c r="BS35" s="8">
        <v>495441.24269336357</v>
      </c>
      <c r="BT35" s="8">
        <v>452383.70805748436</v>
      </c>
      <c r="BU35" s="8">
        <v>409605.76780235756</v>
      </c>
      <c r="BV35" s="8">
        <v>367666.61068948824</v>
      </c>
      <c r="BW35" s="8">
        <v>327125.42548038118</v>
      </c>
      <c r="BX35" s="8">
        <v>287982.21217503637</v>
      </c>
      <c r="BY35" s="8">
        <v>250516.56515420642</v>
      </c>
      <c r="BZ35" s="8">
        <v>215287.67317939614</v>
      </c>
      <c r="CA35" s="8">
        <v>182575.13063135801</v>
      </c>
      <c r="CB35" s="8">
        <v>152658.53189084455</v>
      </c>
      <c r="CC35" s="8">
        <v>125537.87695785568</v>
      </c>
      <c r="CD35" s="8">
        <v>101492.76021314389</v>
      </c>
      <c r="CE35" s="8">
        <v>80523.181656709203</v>
      </c>
      <c r="CF35" s="8">
        <v>62349.546907799144</v>
      </c>
      <c r="CG35" s="8">
        <v>47251.450347166159</v>
      </c>
      <c r="CH35" s="8">
        <v>34949.297594057818</v>
      </c>
      <c r="CI35" s="8">
        <v>25163.494267721624</v>
      </c>
      <c r="CJ35" s="8">
        <v>17614.445987405139</v>
      </c>
      <c r="CK35" s="8">
        <v>11463.369610850965</v>
      </c>
      <c r="CL35" s="8">
        <v>7269.453899564026</v>
      </c>
      <c r="CM35" s="8">
        <v>3355.1325690295503</v>
      </c>
      <c r="CN35" s="8">
        <v>1397.9719037623129</v>
      </c>
      <c r="CO35" s="8">
        <v>838.78314225738768</v>
      </c>
      <c r="CP35" s="8">
        <v>279.5943807524626</v>
      </c>
    </row>
    <row r="36" spans="3:98">
      <c r="C36" s="8">
        <f t="shared" ref="C36:C41" si="7">1788-L36</f>
        <v>1767</v>
      </c>
      <c r="D36" s="8">
        <v>31513</v>
      </c>
      <c r="E36" s="8">
        <v>510054</v>
      </c>
      <c r="F36" s="8">
        <v>515116.63815082161</v>
      </c>
      <c r="G36" s="8">
        <v>509793.29488557827</v>
      </c>
      <c r="H36" s="8">
        <v>504469.95162033488</v>
      </c>
      <c r="I36" s="8">
        <f t="shared" ref="I36:I41" si="8">F36/E36</f>
        <v>1.0099256905167329</v>
      </c>
      <c r="J36" s="8">
        <f t="shared" ref="J36:J41" si="9">G36/E36</f>
        <v>0.99948886762103284</v>
      </c>
      <c r="K36" s="8">
        <f t="shared" ref="K36:K41" si="10">H36/E36</f>
        <v>0.98905204472533281</v>
      </c>
      <c r="L36" s="8">
        <v>21</v>
      </c>
      <c r="M36" s="8">
        <v>0.64500000000000002</v>
      </c>
      <c r="N36" s="8">
        <f t="shared" si="0"/>
        <v>0.99063123944094622</v>
      </c>
      <c r="O36" s="8">
        <f t="shared" si="1"/>
        <v>1</v>
      </c>
      <c r="P36" s="8">
        <v>541567</v>
      </c>
      <c r="Q36" s="8">
        <v>536493.18845031492</v>
      </c>
      <c r="R36" s="8">
        <v>531253.02242359088</v>
      </c>
      <c r="S36" s="8">
        <v>525929.67915834731</v>
      </c>
      <c r="T36" s="8">
        <v>520523.15865458455</v>
      </c>
      <c r="U36" s="8">
        <v>515116.63815082161</v>
      </c>
      <c r="V36" s="8">
        <v>509793.29488557827</v>
      </c>
      <c r="W36" s="8">
        <v>504469.95162033488</v>
      </c>
      <c r="X36" s="8">
        <v>499229.78559361078</v>
      </c>
      <c r="Y36" s="8">
        <v>493989.6195668868</v>
      </c>
      <c r="Z36" s="8">
        <v>488915.80801720161</v>
      </c>
      <c r="AA36" s="8">
        <v>483925.17370603589</v>
      </c>
      <c r="AB36" s="8">
        <v>479100.89387190901</v>
      </c>
      <c r="AC36" s="8">
        <v>474276.6140377823</v>
      </c>
      <c r="AD36" s="8">
        <v>469535.51144217479</v>
      </c>
      <c r="AE36" s="8">
        <v>464794.40884656733</v>
      </c>
      <c r="AF36" s="8">
        <v>460219.66072799877</v>
      </c>
      <c r="AG36" s="8">
        <v>455561.73537091073</v>
      </c>
      <c r="AH36" s="8">
        <v>450986.98725234217</v>
      </c>
      <c r="AI36" s="8">
        <v>446412.23913377355</v>
      </c>
      <c r="AJ36" s="8">
        <v>441837.49101520499</v>
      </c>
      <c r="AK36" s="8">
        <v>437179.565658117</v>
      </c>
      <c r="AL36" s="8">
        <v>432521.64030102908</v>
      </c>
      <c r="AM36" s="8">
        <v>427780.53770542156</v>
      </c>
      <c r="AN36" s="8">
        <v>422873.08063277527</v>
      </c>
      <c r="AO36" s="8">
        <v>417965.62356012897</v>
      </c>
      <c r="AP36" s="8">
        <v>412891.81201044383</v>
      </c>
      <c r="AQ36" s="8">
        <v>407651.64598371985</v>
      </c>
      <c r="AR36" s="8">
        <v>402245.12547995697</v>
      </c>
      <c r="AS36" s="8">
        <v>396672.25049915526</v>
      </c>
      <c r="AT36" s="8">
        <v>390933.0210413147</v>
      </c>
      <c r="AU36" s="8">
        <v>384944.25986791583</v>
      </c>
      <c r="AV36" s="8">
        <v>378705.96697895869</v>
      </c>
      <c r="AW36" s="8">
        <v>372218.14237444324</v>
      </c>
      <c r="AX36" s="8">
        <v>365480.78605436953</v>
      </c>
      <c r="AY36" s="8">
        <v>358410.72078021814</v>
      </c>
      <c r="AZ36" s="8">
        <v>351091.12379050837</v>
      </c>
      <c r="BA36" s="8">
        <v>343438.81784672092</v>
      </c>
      <c r="BB36" s="8">
        <v>335453.80294885579</v>
      </c>
      <c r="BC36" s="8">
        <v>327136.07909691287</v>
      </c>
      <c r="BD36" s="8">
        <v>318402.46905237285</v>
      </c>
      <c r="BE36" s="8">
        <v>309336.15005375521</v>
      </c>
      <c r="BF36" s="8">
        <v>299937.12210105971</v>
      </c>
      <c r="BG36" s="8">
        <v>290122.20795576717</v>
      </c>
      <c r="BH36" s="8">
        <v>279891.40761787747</v>
      </c>
      <c r="BI36" s="8">
        <v>269327.89832590998</v>
      </c>
      <c r="BJ36" s="8">
        <v>258431.68007986483</v>
      </c>
      <c r="BK36" s="8">
        <v>247119.57564122253</v>
      </c>
      <c r="BL36" s="8">
        <v>235474.76224850252</v>
      </c>
      <c r="BM36" s="8">
        <v>223497.23990170483</v>
      </c>
      <c r="BN36" s="8">
        <v>211270.18583934879</v>
      </c>
      <c r="BO36" s="8">
        <v>198793.60006143447</v>
      </c>
      <c r="BP36" s="8">
        <v>186067.48256796191</v>
      </c>
      <c r="BQ36" s="8">
        <v>173258.1878359699</v>
      </c>
      <c r="BR36" s="8">
        <v>160365.71586545845</v>
      </c>
      <c r="BS36" s="8">
        <v>147390.06665642757</v>
      </c>
      <c r="BT36" s="8">
        <v>134580.77192443557</v>
      </c>
      <c r="BU36" s="8">
        <v>121854.65443096298</v>
      </c>
      <c r="BV36" s="8">
        <v>109378.0686530487</v>
      </c>
      <c r="BW36" s="8">
        <v>97317.369067731546</v>
      </c>
      <c r="BX36" s="8">
        <v>85672.555675011521</v>
      </c>
      <c r="BY36" s="8">
        <v>74526.805713408074</v>
      </c>
      <c r="BZ36" s="8">
        <v>64046.473659960066</v>
      </c>
      <c r="CA36" s="8">
        <v>54314.736753186917</v>
      </c>
      <c r="CB36" s="8">
        <v>45414.772231608054</v>
      </c>
      <c r="CC36" s="8">
        <v>37346.580095223464</v>
      </c>
      <c r="CD36" s="8">
        <v>30193.337582552602</v>
      </c>
      <c r="CE36" s="8">
        <v>23955.044693595453</v>
      </c>
      <c r="CF36" s="8">
        <v>18548.524189832591</v>
      </c>
      <c r="CG36" s="8">
        <v>14056.953309783443</v>
      </c>
      <c r="CH36" s="8">
        <v>10397.154814928583</v>
      </c>
      <c r="CI36" s="8">
        <v>7485.9514667485792</v>
      </c>
      <c r="CJ36" s="8">
        <v>5240.1660267240059</v>
      </c>
      <c r="CK36" s="8">
        <v>3410.2667792965749</v>
      </c>
      <c r="CL36" s="8">
        <v>2162.6082015051452</v>
      </c>
      <c r="CM36" s="8">
        <v>998.1268622331437</v>
      </c>
      <c r="CN36" s="8">
        <v>415.88619259714329</v>
      </c>
      <c r="CO36" s="8">
        <v>249.53171555828592</v>
      </c>
      <c r="CP36" s="8">
        <v>83.177238519428656</v>
      </c>
      <c r="CQ36" s="8">
        <v>0</v>
      </c>
    </row>
    <row r="37" spans="3:98">
      <c r="C37" s="8">
        <f t="shared" si="7"/>
        <v>1766</v>
      </c>
      <c r="D37" s="8">
        <v>45275</v>
      </c>
      <c r="E37" s="8">
        <v>449831</v>
      </c>
      <c r="F37" s="8">
        <v>470465.8409302326</v>
      </c>
      <c r="G37" s="8">
        <v>465553.16124031012</v>
      </c>
      <c r="H37" s="8">
        <v>460717.24217054259</v>
      </c>
      <c r="I37" s="8">
        <f t="shared" si="8"/>
        <v>1.0458724297130091</v>
      </c>
      <c r="J37" s="8">
        <f t="shared" si="9"/>
        <v>1.0349512622302823</v>
      </c>
      <c r="K37" s="8">
        <f t="shared" si="10"/>
        <v>1.0242007379894729</v>
      </c>
      <c r="L37" s="8">
        <v>22</v>
      </c>
      <c r="M37" s="8">
        <v>0.63870000000000005</v>
      </c>
      <c r="N37" s="8">
        <f t="shared" si="0"/>
        <v>0.99023255813953481</v>
      </c>
      <c r="O37" s="8">
        <f t="shared" si="1"/>
        <v>0.99023255813953492</v>
      </c>
      <c r="P37" s="8">
        <v>495106</v>
      </c>
      <c r="Q37" s="8">
        <v>490270.08093023254</v>
      </c>
      <c r="R37" s="8">
        <v>485357.40124030999</v>
      </c>
      <c r="S37" s="8">
        <v>480367.96093023254</v>
      </c>
      <c r="T37" s="8">
        <v>475378.52062015503</v>
      </c>
      <c r="U37" s="8">
        <v>470465.8409302326</v>
      </c>
      <c r="V37" s="8">
        <v>465553.16124031012</v>
      </c>
      <c r="W37" s="8">
        <v>460717.24217054259</v>
      </c>
      <c r="X37" s="8">
        <v>455881.32310077519</v>
      </c>
      <c r="Y37" s="8">
        <v>451198.92527131783</v>
      </c>
      <c r="Z37" s="8">
        <v>446593.28806201543</v>
      </c>
      <c r="AA37" s="8">
        <v>442141.1720930232</v>
      </c>
      <c r="AB37" s="8">
        <v>437689.05612403102</v>
      </c>
      <c r="AC37" s="8">
        <v>433313.70077519381</v>
      </c>
      <c r="AD37" s="8">
        <v>428938.34542635659</v>
      </c>
      <c r="AE37" s="8">
        <v>424716.51131782949</v>
      </c>
      <c r="AF37" s="8">
        <v>420417.91658914724</v>
      </c>
      <c r="AG37" s="8">
        <v>416196.08248062013</v>
      </c>
      <c r="AH37" s="8">
        <v>411974.24837209296</v>
      </c>
      <c r="AI37" s="8">
        <v>407752.41426356585</v>
      </c>
      <c r="AJ37" s="8">
        <v>403453.81953488372</v>
      </c>
      <c r="AK37" s="8">
        <v>399155.22480620153</v>
      </c>
      <c r="AL37" s="8">
        <v>394779.86945736432</v>
      </c>
      <c r="AM37" s="8">
        <v>390250.992868217</v>
      </c>
      <c r="AN37" s="8">
        <v>385722.11627906974</v>
      </c>
      <c r="AO37" s="8">
        <v>381039.71844961238</v>
      </c>
      <c r="AP37" s="8">
        <v>376203.79937984492</v>
      </c>
      <c r="AQ37" s="8">
        <v>371214.35906976741</v>
      </c>
      <c r="AR37" s="8">
        <v>366071.39751937985</v>
      </c>
      <c r="AS37" s="8">
        <v>360774.91472868214</v>
      </c>
      <c r="AT37" s="8">
        <v>355248.15007751936</v>
      </c>
      <c r="AU37" s="8">
        <v>349491.10356589145</v>
      </c>
      <c r="AV37" s="8">
        <v>343503.77519379841</v>
      </c>
      <c r="AW37" s="8">
        <v>337286.16496124031</v>
      </c>
      <c r="AX37" s="8">
        <v>330761.512248062</v>
      </c>
      <c r="AY37" s="8">
        <v>324006.57767441857</v>
      </c>
      <c r="AZ37" s="8">
        <v>316944.60062015499</v>
      </c>
      <c r="BA37" s="8">
        <v>309575.58108527132</v>
      </c>
      <c r="BB37" s="8">
        <v>301899.51906976744</v>
      </c>
      <c r="BC37" s="8">
        <v>293839.65395348833</v>
      </c>
      <c r="BD37" s="8">
        <v>285472.74635658914</v>
      </c>
      <c r="BE37" s="8">
        <v>276798.79627906973</v>
      </c>
      <c r="BF37" s="8">
        <v>267741.04310077516</v>
      </c>
      <c r="BG37" s="8">
        <v>258299.48682170545</v>
      </c>
      <c r="BH37" s="8">
        <v>248550.8880620155</v>
      </c>
      <c r="BI37" s="8">
        <v>238495.2468217054</v>
      </c>
      <c r="BJ37" s="8">
        <v>228055.80248062016</v>
      </c>
      <c r="BK37" s="8">
        <v>217309.31565891471</v>
      </c>
      <c r="BL37" s="8">
        <v>206255.78635658915</v>
      </c>
      <c r="BM37" s="8">
        <v>194971.97519379845</v>
      </c>
      <c r="BN37" s="8">
        <v>183457.88217054261</v>
      </c>
      <c r="BO37" s="8">
        <v>171713.50728682172</v>
      </c>
      <c r="BP37" s="8">
        <v>159892.37178294573</v>
      </c>
      <c r="BQ37" s="8">
        <v>147994.47565891471</v>
      </c>
      <c r="BR37" s="8">
        <v>136019.81891472868</v>
      </c>
      <c r="BS37" s="8">
        <v>124198.68341085271</v>
      </c>
      <c r="BT37" s="8">
        <v>112454.30852713177</v>
      </c>
      <c r="BU37" s="8">
        <v>100940.21550387598</v>
      </c>
      <c r="BV37" s="8">
        <v>89809.92558139535</v>
      </c>
      <c r="BW37" s="8">
        <v>79063.438759689918</v>
      </c>
      <c r="BX37" s="8">
        <v>68777.515658914737</v>
      </c>
      <c r="BY37" s="8">
        <v>59105.677519379838</v>
      </c>
      <c r="BZ37" s="8">
        <v>50124.684961240309</v>
      </c>
      <c r="CA37" s="8">
        <v>41911.298604651158</v>
      </c>
      <c r="CB37" s="8">
        <v>34465.518449612406</v>
      </c>
      <c r="CC37" s="8">
        <v>27864.105116279068</v>
      </c>
      <c r="CD37" s="8">
        <v>22107.05860465116</v>
      </c>
      <c r="CE37" s="8">
        <v>17117.618294573644</v>
      </c>
      <c r="CF37" s="8">
        <v>12972.544806201549</v>
      </c>
      <c r="CG37" s="8">
        <v>9595.0775193798454</v>
      </c>
      <c r="CH37" s="8">
        <v>6908.4558139534874</v>
      </c>
      <c r="CI37" s="8">
        <v>4835.9190697674421</v>
      </c>
      <c r="CJ37" s="8">
        <v>3147.1854263565897</v>
      </c>
      <c r="CK37" s="8">
        <v>1995.7761240310076</v>
      </c>
      <c r="CL37" s="8">
        <v>921.12744186046496</v>
      </c>
      <c r="CM37" s="8">
        <v>383.8031007751938</v>
      </c>
      <c r="CN37" s="8">
        <v>230.28186046511624</v>
      </c>
      <c r="CO37" s="8">
        <v>76.760620155038765</v>
      </c>
      <c r="CP37" s="8">
        <v>0</v>
      </c>
      <c r="CQ37" s="8">
        <v>0</v>
      </c>
    </row>
    <row r="38" spans="3:98">
      <c r="C38" s="8">
        <f t="shared" si="7"/>
        <v>1765</v>
      </c>
      <c r="D38" s="8">
        <v>19731</v>
      </c>
      <c r="E38" s="8">
        <v>460394</v>
      </c>
      <c r="F38" s="8">
        <v>455919.54360419599</v>
      </c>
      <c r="G38" s="8">
        <v>451183.69343979948</v>
      </c>
      <c r="H38" s="8">
        <v>446447.84327540314</v>
      </c>
      <c r="I38" s="8">
        <f t="shared" si="8"/>
        <v>0.99028124520344751</v>
      </c>
      <c r="J38" s="8">
        <f t="shared" si="9"/>
        <v>0.97999472938352694</v>
      </c>
      <c r="K38" s="8">
        <f t="shared" si="10"/>
        <v>0.9697082135636067</v>
      </c>
      <c r="L38" s="8">
        <v>23</v>
      </c>
      <c r="M38" s="8">
        <v>0.63229999999999997</v>
      </c>
      <c r="N38" s="8">
        <f t="shared" ref="N38:N69" si="11">Q38/P38</f>
        <v>0.98997964615625478</v>
      </c>
      <c r="O38" s="8">
        <f t="shared" ref="O38:O69" si="12">M38/M37</f>
        <v>0.98997964615625478</v>
      </c>
      <c r="P38" s="8">
        <v>480125</v>
      </c>
      <c r="Q38" s="8">
        <v>475313.97761077184</v>
      </c>
      <c r="R38" s="8">
        <v>470427.78299671208</v>
      </c>
      <c r="S38" s="8">
        <v>465541.5883826522</v>
      </c>
      <c r="T38" s="8">
        <v>460730.5659934241</v>
      </c>
      <c r="U38" s="8">
        <v>455919.54360419599</v>
      </c>
      <c r="V38" s="8">
        <v>451183.69343979948</v>
      </c>
      <c r="W38" s="8">
        <v>446447.84327540314</v>
      </c>
      <c r="X38" s="8">
        <v>441862.33756067004</v>
      </c>
      <c r="Y38" s="8">
        <v>437352.00407076866</v>
      </c>
      <c r="Z38" s="8">
        <v>432992.01503053075</v>
      </c>
      <c r="AA38" s="8">
        <v>428632.02599029278</v>
      </c>
      <c r="AB38" s="8">
        <v>424347.20917488646</v>
      </c>
      <c r="AC38" s="8">
        <v>420062.39235948015</v>
      </c>
      <c r="AD38" s="8">
        <v>415927.91999373731</v>
      </c>
      <c r="AE38" s="8">
        <v>411718.27540316258</v>
      </c>
      <c r="AF38" s="8">
        <v>407583.80303741974</v>
      </c>
      <c r="AG38" s="8">
        <v>403449.33067167678</v>
      </c>
      <c r="AH38" s="8">
        <v>399314.85830593389</v>
      </c>
      <c r="AI38" s="8">
        <v>395105.21371535928</v>
      </c>
      <c r="AJ38" s="8">
        <v>390895.56912478467</v>
      </c>
      <c r="AK38" s="8">
        <v>386610.75230937835</v>
      </c>
      <c r="AL38" s="8">
        <v>382175.59104430873</v>
      </c>
      <c r="AM38" s="8">
        <v>377740.429779239</v>
      </c>
      <c r="AN38" s="8">
        <v>373154.92406450602</v>
      </c>
      <c r="AO38" s="8">
        <v>368419.07390010956</v>
      </c>
      <c r="AP38" s="8">
        <v>363532.87928604975</v>
      </c>
      <c r="AQ38" s="8">
        <v>358496.34022232657</v>
      </c>
      <c r="AR38" s="8">
        <v>353309.45670894004</v>
      </c>
      <c r="AS38" s="8">
        <v>347897.05652105837</v>
      </c>
      <c r="AT38" s="8">
        <v>342259.1396586817</v>
      </c>
      <c r="AU38" s="8">
        <v>336395.7061218099</v>
      </c>
      <c r="AV38" s="8">
        <v>330306.75591044308</v>
      </c>
      <c r="AW38" s="8">
        <v>323917.11679974943</v>
      </c>
      <c r="AX38" s="8">
        <v>317301.96101456077</v>
      </c>
      <c r="AY38" s="8">
        <v>310386.11633004539</v>
      </c>
      <c r="AZ38" s="8">
        <v>303169.58274620323</v>
      </c>
      <c r="BA38" s="8">
        <v>295652.36026303429</v>
      </c>
      <c r="BB38" s="8">
        <v>287759.27665570687</v>
      </c>
      <c r="BC38" s="8">
        <v>279565.50414905278</v>
      </c>
      <c r="BD38" s="8">
        <v>271071.0427430718</v>
      </c>
      <c r="BE38" s="8">
        <v>262200.7202129325</v>
      </c>
      <c r="BF38" s="8">
        <v>252954.53655863472</v>
      </c>
      <c r="BG38" s="8">
        <v>243407.66400501013</v>
      </c>
      <c r="BH38" s="8">
        <v>233560.10255205884</v>
      </c>
      <c r="BI38" s="8">
        <v>223336.67997494907</v>
      </c>
      <c r="BJ38" s="8">
        <v>212812.56849851261</v>
      </c>
      <c r="BK38" s="8">
        <v>201987.76812274932</v>
      </c>
      <c r="BL38" s="8">
        <v>190937.45107249098</v>
      </c>
      <c r="BM38" s="8">
        <v>179661.61734773757</v>
      </c>
      <c r="BN38" s="8">
        <v>168160.26694848912</v>
      </c>
      <c r="BO38" s="8">
        <v>156583.74432440897</v>
      </c>
      <c r="BP38" s="8">
        <v>144932.0494754971</v>
      </c>
      <c r="BQ38" s="8">
        <v>133205.18240175355</v>
      </c>
      <c r="BR38" s="8">
        <v>121628.6597776734</v>
      </c>
      <c r="BS38" s="8">
        <v>110127.30937842492</v>
      </c>
      <c r="BT38" s="8">
        <v>98851.475653671514</v>
      </c>
      <c r="BU38" s="8">
        <v>87951.503053076551</v>
      </c>
      <c r="BV38" s="8">
        <v>77427.391576640046</v>
      </c>
      <c r="BW38" s="8">
        <v>67354.313449193665</v>
      </c>
      <c r="BX38" s="8">
        <v>57882.613120400812</v>
      </c>
      <c r="BY38" s="8">
        <v>49087.462815093153</v>
      </c>
      <c r="BZ38" s="8">
        <v>41044.034758102396</v>
      </c>
      <c r="CA38" s="8">
        <v>33752.328949428527</v>
      </c>
      <c r="CB38" s="8">
        <v>27287.517613903237</v>
      </c>
      <c r="CC38" s="8">
        <v>21649.600751526537</v>
      </c>
      <c r="CD38" s="8">
        <v>16763.406137466729</v>
      </c>
      <c r="CE38" s="8">
        <v>12704.105996555501</v>
      </c>
      <c r="CF38" s="8">
        <v>9396.5281039611709</v>
      </c>
      <c r="CG38" s="8">
        <v>6765.5002348520429</v>
      </c>
      <c r="CH38" s="8">
        <v>4735.85016439643</v>
      </c>
      <c r="CI38" s="8">
        <v>3082.0612180992644</v>
      </c>
      <c r="CJ38" s="8">
        <v>1954.4778456239235</v>
      </c>
      <c r="CK38" s="8">
        <v>902.06669798027235</v>
      </c>
      <c r="CL38" s="8">
        <v>375.86112415844684</v>
      </c>
      <c r="CM38" s="8">
        <v>225.51667449506809</v>
      </c>
      <c r="CN38" s="8">
        <v>75.172224831689363</v>
      </c>
      <c r="CO38" s="8">
        <v>0</v>
      </c>
      <c r="CP38" s="8">
        <v>0</v>
      </c>
      <c r="CQ38" s="8">
        <v>0</v>
      </c>
    </row>
    <row r="39" spans="3:98">
      <c r="C39" s="8">
        <f t="shared" si="7"/>
        <v>1764</v>
      </c>
      <c r="D39" s="8">
        <v>47439</v>
      </c>
      <c r="E39" s="8">
        <v>394693</v>
      </c>
      <c r="F39" s="8">
        <v>419686.26664557966</v>
      </c>
      <c r="G39" s="8">
        <v>415281.02925826347</v>
      </c>
      <c r="H39" s="8">
        <v>411015.64067689388</v>
      </c>
      <c r="I39" s="8">
        <f t="shared" si="8"/>
        <v>1.0633233086109448</v>
      </c>
      <c r="J39" s="8">
        <f t="shared" si="9"/>
        <v>1.0521621342619796</v>
      </c>
      <c r="K39" s="8">
        <f t="shared" si="10"/>
        <v>1.0413552829082195</v>
      </c>
      <c r="L39" s="8">
        <v>24</v>
      </c>
      <c r="M39" s="8">
        <v>0.62580000000000002</v>
      </c>
      <c r="N39" s="8">
        <f t="shared" si="11"/>
        <v>0.98972006958722125</v>
      </c>
      <c r="O39" s="8">
        <f t="shared" si="12"/>
        <v>0.98972006958722136</v>
      </c>
      <c r="P39" s="8">
        <v>442132</v>
      </c>
      <c r="Q39" s="8">
        <v>437586.91380673728</v>
      </c>
      <c r="R39" s="8">
        <v>433041.82761347463</v>
      </c>
      <c r="S39" s="8">
        <v>428566.66582318523</v>
      </c>
      <c r="T39" s="8">
        <v>424091.50403289584</v>
      </c>
      <c r="U39" s="8">
        <v>419686.26664557966</v>
      </c>
      <c r="V39" s="8">
        <v>415281.02925826347</v>
      </c>
      <c r="W39" s="8">
        <v>411015.64067689388</v>
      </c>
      <c r="X39" s="8">
        <v>406820.17649849755</v>
      </c>
      <c r="Y39" s="8">
        <v>402764.56112604775</v>
      </c>
      <c r="Z39" s="8">
        <v>398708.945753598</v>
      </c>
      <c r="AA39" s="8">
        <v>394723.25478412147</v>
      </c>
      <c r="AB39" s="8">
        <v>390737.56381464493</v>
      </c>
      <c r="AC39" s="8">
        <v>386891.72165111499</v>
      </c>
      <c r="AD39" s="8">
        <v>382975.95508461172</v>
      </c>
      <c r="AE39" s="8">
        <v>379130.11292108183</v>
      </c>
      <c r="AF39" s="8">
        <v>375284.27075755177</v>
      </c>
      <c r="AG39" s="8">
        <v>371438.42859402183</v>
      </c>
      <c r="AH39" s="8">
        <v>367522.66202751856</v>
      </c>
      <c r="AI39" s="8">
        <v>363606.8954610154</v>
      </c>
      <c r="AJ39" s="8">
        <v>359621.20449153881</v>
      </c>
      <c r="AK39" s="8">
        <v>355495.66471611575</v>
      </c>
      <c r="AL39" s="8">
        <v>351370.12494069268</v>
      </c>
      <c r="AM39" s="8">
        <v>347104.73635932314</v>
      </c>
      <c r="AN39" s="8">
        <v>342699.49897200696</v>
      </c>
      <c r="AO39" s="8">
        <v>338154.41277874424</v>
      </c>
      <c r="AP39" s="8">
        <v>333469.47777953505</v>
      </c>
      <c r="AQ39" s="8">
        <v>328644.69397437922</v>
      </c>
      <c r="AR39" s="8">
        <v>323610.13696030364</v>
      </c>
      <c r="AS39" s="8">
        <v>318365.80673730822</v>
      </c>
      <c r="AT39" s="8">
        <v>312911.70330539305</v>
      </c>
      <c r="AU39" s="8">
        <v>307247.82666455797</v>
      </c>
      <c r="AV39" s="8">
        <v>301304.25241182983</v>
      </c>
      <c r="AW39" s="8">
        <v>295150.9049501819</v>
      </c>
      <c r="AX39" s="8">
        <v>288717.85987664084</v>
      </c>
      <c r="AY39" s="8">
        <v>282005.11719120672</v>
      </c>
      <c r="AZ39" s="8">
        <v>275012.67689387948</v>
      </c>
      <c r="BA39" s="8">
        <v>267670.61458168592</v>
      </c>
      <c r="BB39" s="8">
        <v>260048.85465759924</v>
      </c>
      <c r="BC39" s="8">
        <v>252147.39712161946</v>
      </c>
      <c r="BD39" s="8">
        <v>243896.31757077339</v>
      </c>
      <c r="BE39" s="8">
        <v>235295.6160050609</v>
      </c>
      <c r="BF39" s="8">
        <v>226415.2168274553</v>
      </c>
      <c r="BG39" s="8">
        <v>217255.12003795669</v>
      </c>
      <c r="BH39" s="8">
        <v>207745.40123359166</v>
      </c>
      <c r="BI39" s="8">
        <v>197955.98481733358</v>
      </c>
      <c r="BJ39" s="8">
        <v>187886.87078918234</v>
      </c>
      <c r="BK39" s="8">
        <v>177607.98355211134</v>
      </c>
      <c r="BL39" s="8">
        <v>167119.32310612052</v>
      </c>
      <c r="BM39" s="8">
        <v>156420.88945120989</v>
      </c>
      <c r="BN39" s="8">
        <v>145652.53139332595</v>
      </c>
      <c r="BO39" s="8">
        <v>134814.24893246876</v>
      </c>
      <c r="BP39" s="8">
        <v>123906.0420686383</v>
      </c>
      <c r="BQ39" s="8">
        <v>113137.68401075438</v>
      </c>
      <c r="BR39" s="8">
        <v>102439.25035584375</v>
      </c>
      <c r="BS39" s="8">
        <v>91950.589909852919</v>
      </c>
      <c r="BT39" s="8">
        <v>81811.551478728463</v>
      </c>
      <c r="BU39" s="8">
        <v>72022.135062470348</v>
      </c>
      <c r="BV39" s="8">
        <v>62652.26506405187</v>
      </c>
      <c r="BW39" s="8">
        <v>53841.790289419579</v>
      </c>
      <c r="BX39" s="8">
        <v>45660.635141546736</v>
      </c>
      <c r="BY39" s="8">
        <v>38178.724023406612</v>
      </c>
      <c r="BZ39" s="8">
        <v>31396.056934999211</v>
      </c>
      <c r="CA39" s="8">
        <v>25382.558279297802</v>
      </c>
      <c r="CB39" s="8">
        <v>20138.228056302389</v>
      </c>
      <c r="CC39" s="8">
        <v>15593.141863039698</v>
      </c>
      <c r="CD39" s="8">
        <v>11817.224102482998</v>
      </c>
      <c r="CE39" s="8">
        <v>8740.5503716590247</v>
      </c>
      <c r="CF39" s="8">
        <v>6293.196267594496</v>
      </c>
      <c r="CG39" s="8">
        <v>4405.2373873161478</v>
      </c>
      <c r="CH39" s="8">
        <v>2866.9005219041596</v>
      </c>
      <c r="CI39" s="8">
        <v>1818.0344773050765</v>
      </c>
      <c r="CJ39" s="8">
        <v>839.09283567926627</v>
      </c>
      <c r="CK39" s="8">
        <v>349.62201486636093</v>
      </c>
      <c r="CL39" s="8">
        <v>209.77320891981657</v>
      </c>
      <c r="CM39" s="8">
        <v>69.92440297327218</v>
      </c>
    </row>
    <row r="40" spans="3:98">
      <c r="C40" s="8">
        <f t="shared" si="7"/>
        <v>1763</v>
      </c>
      <c r="D40" s="8">
        <v>7367</v>
      </c>
      <c r="E40" s="8">
        <v>393156</v>
      </c>
      <c r="F40" s="8">
        <v>380106.43927772448</v>
      </c>
      <c r="G40" s="8">
        <v>376202.33205496962</v>
      </c>
      <c r="H40" s="8">
        <v>372362.22658996482</v>
      </c>
      <c r="I40" s="8">
        <f t="shared" si="8"/>
        <v>0.96680818626124099</v>
      </c>
      <c r="J40" s="8">
        <f t="shared" si="9"/>
        <v>0.95687801293880703</v>
      </c>
      <c r="K40" s="8">
        <f t="shared" si="10"/>
        <v>0.9471106293429703</v>
      </c>
      <c r="L40" s="8">
        <v>25</v>
      </c>
      <c r="M40" s="8">
        <v>0.61929999999999996</v>
      </c>
      <c r="N40" s="8">
        <f t="shared" si="11"/>
        <v>0.98961329498242245</v>
      </c>
      <c r="O40" s="8">
        <f t="shared" si="12"/>
        <v>0.98961329498242245</v>
      </c>
      <c r="P40" s="8">
        <v>400523</v>
      </c>
      <c r="Q40" s="8">
        <v>396362.88574624481</v>
      </c>
      <c r="R40" s="8">
        <v>392266.77325023967</v>
      </c>
      <c r="S40" s="8">
        <v>388170.66075423459</v>
      </c>
      <c r="T40" s="8">
        <v>384138.5500159795</v>
      </c>
      <c r="U40" s="8">
        <v>380106.43927772448</v>
      </c>
      <c r="V40" s="8">
        <v>376202.33205496962</v>
      </c>
      <c r="W40" s="8">
        <v>372362.22658996482</v>
      </c>
      <c r="X40" s="8">
        <v>368650.12464046018</v>
      </c>
      <c r="Y40" s="8">
        <v>364938.02269095555</v>
      </c>
      <c r="Z40" s="8">
        <v>361289.92249920103</v>
      </c>
      <c r="AA40" s="8">
        <v>357641.82230744645</v>
      </c>
      <c r="AB40" s="8">
        <v>354121.72563119209</v>
      </c>
      <c r="AC40" s="8">
        <v>350537.62719718757</v>
      </c>
      <c r="AD40" s="8">
        <v>347017.53052093321</v>
      </c>
      <c r="AE40" s="8">
        <v>343497.4338446788</v>
      </c>
      <c r="AF40" s="8">
        <v>339977.33716842439</v>
      </c>
      <c r="AG40" s="8">
        <v>336393.23873441992</v>
      </c>
      <c r="AH40" s="8">
        <v>332809.14030041551</v>
      </c>
      <c r="AI40" s="8">
        <v>329161.04010866088</v>
      </c>
      <c r="AJ40" s="8">
        <v>325384.93640140619</v>
      </c>
      <c r="AK40" s="8">
        <v>321608.83269415144</v>
      </c>
      <c r="AL40" s="8">
        <v>317704.72547139664</v>
      </c>
      <c r="AM40" s="8">
        <v>313672.61473314156</v>
      </c>
      <c r="AN40" s="8">
        <v>309512.50047938636</v>
      </c>
      <c r="AO40" s="8">
        <v>305224.38271013106</v>
      </c>
      <c r="AP40" s="8">
        <v>300808.26142537553</v>
      </c>
      <c r="AQ40" s="8">
        <v>296200.13486736972</v>
      </c>
      <c r="AR40" s="8">
        <v>291400.00303611375</v>
      </c>
      <c r="AS40" s="8">
        <v>286407.86593160755</v>
      </c>
      <c r="AT40" s="8">
        <v>281223.72355385107</v>
      </c>
      <c r="AU40" s="8">
        <v>275783.57414509426</v>
      </c>
      <c r="AV40" s="8">
        <v>270151.41946308722</v>
      </c>
      <c r="AW40" s="8">
        <v>264263.25775007991</v>
      </c>
      <c r="AX40" s="8">
        <v>258119.08900607223</v>
      </c>
      <c r="AY40" s="8">
        <v>251718.91323106422</v>
      </c>
      <c r="AZ40" s="8">
        <v>244998.72866730581</v>
      </c>
      <c r="BA40" s="8">
        <v>238022.53707254713</v>
      </c>
      <c r="BB40" s="8">
        <v>230790.33844678811</v>
      </c>
      <c r="BC40" s="8">
        <v>223238.1310322787</v>
      </c>
      <c r="BD40" s="8">
        <v>215365.91482901885</v>
      </c>
      <c r="BE40" s="8">
        <v>207237.69159475868</v>
      </c>
      <c r="BF40" s="8">
        <v>198853.46132949821</v>
      </c>
      <c r="BG40" s="8">
        <v>190149.22227548735</v>
      </c>
      <c r="BH40" s="8">
        <v>181188.97619047618</v>
      </c>
      <c r="BI40" s="8">
        <v>171972.72307446468</v>
      </c>
      <c r="BJ40" s="8">
        <v>162564.46468520295</v>
      </c>
      <c r="BK40" s="8">
        <v>152964.20102269095</v>
      </c>
      <c r="BL40" s="8">
        <v>143171.93208692872</v>
      </c>
      <c r="BM40" s="8">
        <v>133315.66139341643</v>
      </c>
      <c r="BN40" s="8">
        <v>123395.38894215402</v>
      </c>
      <c r="BO40" s="8">
        <v>113411.11473314159</v>
      </c>
      <c r="BP40" s="8">
        <v>103554.84403962927</v>
      </c>
      <c r="BQ40" s="8">
        <v>93762.575103867042</v>
      </c>
      <c r="BR40" s="8">
        <v>84162.311441355065</v>
      </c>
      <c r="BS40" s="8">
        <v>74882.056567593492</v>
      </c>
      <c r="BT40" s="8">
        <v>65921.810482582296</v>
      </c>
      <c r="BU40" s="8">
        <v>57345.574944071588</v>
      </c>
      <c r="BV40" s="8">
        <v>49281.353467561523</v>
      </c>
      <c r="BW40" s="8">
        <v>41793.147810802169</v>
      </c>
      <c r="BX40" s="8">
        <v>34944.959731543626</v>
      </c>
      <c r="BY40" s="8">
        <v>28736.789229785874</v>
      </c>
      <c r="BZ40" s="8">
        <v>23232.638063279002</v>
      </c>
      <c r="CA40" s="8">
        <v>18432.506232023006</v>
      </c>
      <c r="CB40" s="8">
        <v>14272.391978267815</v>
      </c>
      <c r="CC40" s="8">
        <v>10816.297059763501</v>
      </c>
      <c r="CD40" s="8">
        <v>8000.2197187599877</v>
      </c>
      <c r="CE40" s="8">
        <v>5760.1581975071904</v>
      </c>
      <c r="CF40" s="8">
        <v>4032.1107382550331</v>
      </c>
      <c r="CG40" s="8">
        <v>2624.0720677532759</v>
      </c>
      <c r="CH40" s="8">
        <v>1664.0457015020772</v>
      </c>
      <c r="CI40" s="8">
        <v>768.02109300095867</v>
      </c>
      <c r="CJ40" s="8">
        <v>320.0087887503995</v>
      </c>
      <c r="CK40" s="8">
        <v>192.00527325023967</v>
      </c>
      <c r="CL40" s="8">
        <v>64.001757750079904</v>
      </c>
      <c r="CM40" s="8">
        <v>0</v>
      </c>
    </row>
    <row r="41" spans="3:98">
      <c r="C41" s="8">
        <f t="shared" si="7"/>
        <v>1762</v>
      </c>
      <c r="D41" s="8">
        <v>15057</v>
      </c>
      <c r="E41" s="8">
        <v>373216</v>
      </c>
      <c r="F41" s="8">
        <v>368523.9292749879</v>
      </c>
      <c r="G41" s="8">
        <v>364762.20151784271</v>
      </c>
      <c r="H41" s="8">
        <v>361125.86468593572</v>
      </c>
      <c r="I41" s="8">
        <f t="shared" si="8"/>
        <v>0.98742800221584259</v>
      </c>
      <c r="J41" s="8">
        <f t="shared" si="9"/>
        <v>0.97734877796729702</v>
      </c>
      <c r="K41" s="8">
        <f t="shared" si="10"/>
        <v>0.96760552786036969</v>
      </c>
      <c r="L41" s="8">
        <v>26</v>
      </c>
      <c r="M41" s="8">
        <v>0.6129</v>
      </c>
      <c r="N41" s="8">
        <f t="shared" si="11"/>
        <v>0.98966575165509452</v>
      </c>
      <c r="O41" s="8">
        <f t="shared" si="12"/>
        <v>0.98966575165509452</v>
      </c>
      <c r="P41" s="8">
        <v>388273</v>
      </c>
      <c r="Q41" s="8">
        <v>384260.49039237853</v>
      </c>
      <c r="R41" s="8">
        <v>380247.98078475706</v>
      </c>
      <c r="S41" s="8">
        <v>376298.16663975461</v>
      </c>
      <c r="T41" s="8">
        <v>372348.35249475215</v>
      </c>
      <c r="U41" s="8">
        <v>368523.9292749879</v>
      </c>
      <c r="V41" s="8">
        <v>364762.20151784271</v>
      </c>
      <c r="W41" s="8">
        <v>361125.86468593572</v>
      </c>
      <c r="X41" s="8">
        <v>357489.5278540288</v>
      </c>
      <c r="Y41" s="8">
        <v>353915.88648474088</v>
      </c>
      <c r="Z41" s="8">
        <v>350342.24511545291</v>
      </c>
      <c r="AA41" s="8">
        <v>346893.9946714032</v>
      </c>
      <c r="AB41" s="8">
        <v>343383.04876473435</v>
      </c>
      <c r="AC41" s="8">
        <v>339934.79832068464</v>
      </c>
      <c r="AD41" s="8">
        <v>336486.54787663493</v>
      </c>
      <c r="AE41" s="8">
        <v>333038.29743258521</v>
      </c>
      <c r="AF41" s="8">
        <v>329527.35152591637</v>
      </c>
      <c r="AG41" s="8">
        <v>326016.40561924758</v>
      </c>
      <c r="AH41" s="8">
        <v>322442.76424995967</v>
      </c>
      <c r="AI41" s="8">
        <v>318743.73195543356</v>
      </c>
      <c r="AJ41" s="8">
        <v>315044.69966090744</v>
      </c>
      <c r="AK41" s="8">
        <v>311220.27644114324</v>
      </c>
      <c r="AL41" s="8">
        <v>307270.46229614079</v>
      </c>
      <c r="AM41" s="8">
        <v>303195.25722590025</v>
      </c>
      <c r="AN41" s="8">
        <v>298994.66123042145</v>
      </c>
      <c r="AO41" s="8">
        <v>294668.67430970451</v>
      </c>
      <c r="AP41" s="8">
        <v>290154.6010011303</v>
      </c>
      <c r="AQ41" s="8">
        <v>285452.44130469882</v>
      </c>
      <c r="AR41" s="8">
        <v>280562.19522041018</v>
      </c>
      <c r="AS41" s="8">
        <v>275483.86274826416</v>
      </c>
      <c r="AT41" s="8">
        <v>270154.74842564185</v>
      </c>
      <c r="AU41" s="8">
        <v>264637.54771516228</v>
      </c>
      <c r="AV41" s="8">
        <v>258869.56515420639</v>
      </c>
      <c r="AW41" s="8">
        <v>252850.8007427741</v>
      </c>
      <c r="AX41" s="8">
        <v>246581.25448086552</v>
      </c>
      <c r="AY41" s="8">
        <v>239998.23090586148</v>
      </c>
      <c r="AZ41" s="8">
        <v>233164.42548038109</v>
      </c>
      <c r="BA41" s="8">
        <v>226079.83820442436</v>
      </c>
      <c r="BB41" s="8">
        <v>218681.77361537219</v>
      </c>
      <c r="BC41" s="8">
        <v>210970.23171322464</v>
      </c>
      <c r="BD41" s="8">
        <v>203007.90796060069</v>
      </c>
      <c r="BE41" s="8">
        <v>194794.80235750039</v>
      </c>
      <c r="BF41" s="8">
        <v>186268.21944130471</v>
      </c>
      <c r="BG41" s="8">
        <v>177490.85467463269</v>
      </c>
      <c r="BH41" s="8">
        <v>168462.70805748424</v>
      </c>
      <c r="BI41" s="8">
        <v>159246.47505247864</v>
      </c>
      <c r="BJ41" s="8">
        <v>149842.1556596157</v>
      </c>
      <c r="BK41" s="8">
        <v>140249.74987889553</v>
      </c>
      <c r="BL41" s="8">
        <v>130594.64863555628</v>
      </c>
      <c r="BM41" s="8">
        <v>120876.85192959795</v>
      </c>
      <c r="BN41" s="8">
        <v>111096.35976102052</v>
      </c>
      <c r="BO41" s="8">
        <v>101441.25851768126</v>
      </c>
      <c r="BP41" s="8">
        <v>91848.852736961082</v>
      </c>
      <c r="BQ41" s="8">
        <v>82444.533344098178</v>
      </c>
      <c r="BR41" s="8">
        <v>73353.691264330715</v>
      </c>
      <c r="BS41" s="8">
        <v>64576.326497658651</v>
      </c>
      <c r="BT41" s="8">
        <v>56175.134506701113</v>
      </c>
      <c r="BU41" s="8">
        <v>48275.506216696274</v>
      </c>
      <c r="BV41" s="8">
        <v>40940.137090263197</v>
      </c>
      <c r="BW41" s="8">
        <v>34231.722590020996</v>
      </c>
      <c r="BX41" s="8">
        <v>28150.262715969649</v>
      </c>
      <c r="BY41" s="8">
        <v>22758.452930728243</v>
      </c>
      <c r="BZ41" s="8">
        <v>18056.293234296787</v>
      </c>
      <c r="CA41" s="8">
        <v>13981.088164056193</v>
      </c>
      <c r="CB41" s="8">
        <v>10595.533182625546</v>
      </c>
      <c r="CC41" s="8">
        <v>7836.9328273857591</v>
      </c>
      <c r="CD41" s="8">
        <v>5642.5916357177457</v>
      </c>
      <c r="CE41" s="8">
        <v>3949.8141450024227</v>
      </c>
      <c r="CF41" s="8">
        <v>2570.5139673825288</v>
      </c>
      <c r="CG41" s="8">
        <v>1630.0820280962378</v>
      </c>
      <c r="CH41" s="8">
        <v>752.34555142903275</v>
      </c>
      <c r="CI41" s="8">
        <v>313.47731309543036</v>
      </c>
      <c r="CJ41" s="8">
        <v>188.08638785725819</v>
      </c>
      <c r="CK41" s="8">
        <v>62.695462619086072</v>
      </c>
      <c r="CL41" s="8">
        <v>0</v>
      </c>
      <c r="CM41" s="8">
        <v>0</v>
      </c>
    </row>
    <row r="42" spans="3:98">
      <c r="L42" s="8">
        <v>27</v>
      </c>
      <c r="M42" s="8">
        <v>0.60650000000000004</v>
      </c>
      <c r="N42" s="8">
        <f t="shared" si="11"/>
        <v>0.98955783977810419</v>
      </c>
      <c r="O42" s="8">
        <f t="shared" si="12"/>
        <v>0.98955783977810419</v>
      </c>
      <c r="P42" s="8">
        <v>888283.61808181508</v>
      </c>
      <c r="Q42" s="8">
        <v>879008.01821931941</v>
      </c>
      <c r="R42" s="8">
        <v>869877.34960467508</v>
      </c>
      <c r="S42" s="8">
        <v>860746.68099003087</v>
      </c>
      <c r="T42" s="8">
        <v>851905.87487108971</v>
      </c>
      <c r="U42" s="8">
        <v>843210</v>
      </c>
      <c r="V42" s="8">
        <v>834803.98762461322</v>
      </c>
      <c r="W42" s="8">
        <v>826397.97524922655</v>
      </c>
      <c r="X42" s="8">
        <v>818136.89412169124</v>
      </c>
      <c r="Y42" s="8">
        <v>809875.81299415592</v>
      </c>
      <c r="Z42" s="8">
        <v>801904.59436232375</v>
      </c>
      <c r="AA42" s="8">
        <v>793788.4444826399</v>
      </c>
      <c r="AB42" s="8">
        <v>785817.22585080774</v>
      </c>
      <c r="AC42" s="8">
        <v>777846.00721897546</v>
      </c>
      <c r="AD42" s="8">
        <v>769874.7885871433</v>
      </c>
      <c r="AE42" s="8">
        <v>761758.63870745944</v>
      </c>
      <c r="AF42" s="8">
        <v>753642.48882777581</v>
      </c>
      <c r="AG42" s="8">
        <v>745381.4077002405</v>
      </c>
      <c r="AH42" s="8">
        <v>736830.46407700225</v>
      </c>
      <c r="AI42" s="8">
        <v>728279.52045376401</v>
      </c>
      <c r="AJ42" s="8">
        <v>719438.71433482284</v>
      </c>
      <c r="AK42" s="8">
        <v>710308.04572017863</v>
      </c>
      <c r="AL42" s="8">
        <v>700887.51460983139</v>
      </c>
      <c r="AM42" s="8">
        <v>691177.12100378121</v>
      </c>
      <c r="AN42" s="8">
        <v>681176.864902028</v>
      </c>
      <c r="AO42" s="8">
        <v>670741.8150567204</v>
      </c>
      <c r="AP42" s="8">
        <v>659871.9714678583</v>
      </c>
      <c r="AQ42" s="8">
        <v>648567.33413544169</v>
      </c>
      <c r="AR42" s="8">
        <v>636827.90305947058</v>
      </c>
      <c r="AS42" s="8">
        <v>624508.74699209351</v>
      </c>
      <c r="AT42" s="8">
        <v>611754.79718116182</v>
      </c>
      <c r="AU42" s="8">
        <v>598421.12237882428</v>
      </c>
      <c r="AV42" s="8">
        <v>584507.72258508077</v>
      </c>
      <c r="AW42" s="8">
        <v>570014.59779993119</v>
      </c>
      <c r="AX42" s="8">
        <v>554796.81677552417</v>
      </c>
      <c r="AY42" s="8">
        <v>538999.3107597112</v>
      </c>
      <c r="AZ42" s="8">
        <v>522622.07975249219</v>
      </c>
      <c r="BA42" s="8">
        <v>505520.19250601577</v>
      </c>
      <c r="BB42" s="8">
        <v>487693.64902028185</v>
      </c>
      <c r="BC42" s="8">
        <v>469287.38054314186</v>
      </c>
      <c r="BD42" s="8">
        <v>450301.38707459596</v>
      </c>
      <c r="BE42" s="8">
        <v>430590.73736679257</v>
      </c>
      <c r="BF42" s="8">
        <v>410300.36266758328</v>
      </c>
      <c r="BG42" s="8">
        <v>389430.2629769679</v>
      </c>
      <c r="BH42" s="8">
        <v>368125.36954279809</v>
      </c>
      <c r="BI42" s="8">
        <v>346385.68236507376</v>
      </c>
      <c r="BJ42" s="8">
        <v>324211.201443795</v>
      </c>
      <c r="BK42" s="8">
        <v>301891.78927466471</v>
      </c>
      <c r="BL42" s="8">
        <v>279427.44585768291</v>
      </c>
      <c r="BM42" s="8">
        <v>256818.17119284964</v>
      </c>
      <c r="BN42" s="8">
        <v>234498.75902371938</v>
      </c>
      <c r="BO42" s="8">
        <v>212324.27810244058</v>
      </c>
      <c r="BP42" s="8">
        <v>190584.59092471632</v>
      </c>
      <c r="BQ42" s="8">
        <v>169569.55998624951</v>
      </c>
      <c r="BR42" s="8">
        <v>149279.18528704016</v>
      </c>
      <c r="BS42" s="8">
        <v>129858.3980749398</v>
      </c>
      <c r="BT42" s="8">
        <v>111597.06084565139</v>
      </c>
      <c r="BU42" s="8">
        <v>94640.104847026436</v>
      </c>
      <c r="BV42" s="8">
        <v>79132.46132691644</v>
      </c>
      <c r="BW42" s="8">
        <v>65074.130285321393</v>
      </c>
      <c r="BX42" s="8">
        <v>52610.042970092793</v>
      </c>
      <c r="BY42" s="8">
        <v>41740.199381230646</v>
      </c>
      <c r="BZ42" s="8">
        <v>32319.668270883452</v>
      </c>
      <c r="CA42" s="8">
        <v>24493.380886902702</v>
      </c>
      <c r="CB42" s="8">
        <v>18116.405981436914</v>
      </c>
      <c r="CC42" s="8">
        <v>13043.812306634576</v>
      </c>
      <c r="CD42" s="8">
        <v>9130.6686146442044</v>
      </c>
      <c r="CE42" s="8">
        <v>5942.1811619113078</v>
      </c>
      <c r="CF42" s="8">
        <v>3768.2124441388778</v>
      </c>
      <c r="CG42" s="8">
        <v>1739.1749742179436</v>
      </c>
      <c r="CH42" s="8">
        <v>724.65623925747661</v>
      </c>
      <c r="CI42" s="8">
        <v>434.7937435544859</v>
      </c>
      <c r="CJ42" s="8">
        <v>144.93124785149533</v>
      </c>
      <c r="CK42" s="8">
        <v>0</v>
      </c>
    </row>
    <row r="43" spans="3:98">
      <c r="C43" s="8">
        <f>1788-L43</f>
        <v>1761</v>
      </c>
      <c r="D43" s="8">
        <v>17627</v>
      </c>
      <c r="E43" s="8">
        <v>527660</v>
      </c>
      <c r="F43" s="8">
        <v>517617.84402023169</v>
      </c>
      <c r="G43" s="8">
        <v>512457.67988252564</v>
      </c>
      <c r="H43" s="8">
        <v>507297.51574481971</v>
      </c>
      <c r="I43" s="8">
        <f>F43/E43</f>
        <v>0.98096851006373742</v>
      </c>
      <c r="J43" s="8">
        <f>G43/E43</f>
        <v>0.97118917462480692</v>
      </c>
      <c r="K43" s="8">
        <f>H43/E43</f>
        <v>0.96140983918587675</v>
      </c>
      <c r="L43" s="8">
        <v>27</v>
      </c>
      <c r="M43" s="8">
        <v>0.60650000000000004</v>
      </c>
      <c r="N43" s="8">
        <f t="shared" si="11"/>
        <v>0.9895578397781043</v>
      </c>
      <c r="O43" s="8">
        <f t="shared" si="12"/>
        <v>1</v>
      </c>
      <c r="P43" s="8">
        <v>545287</v>
      </c>
      <c r="Q43" s="8">
        <v>539593.02577908314</v>
      </c>
      <c r="R43" s="8">
        <v>533988.01990536798</v>
      </c>
      <c r="S43" s="8">
        <v>528383.01403165271</v>
      </c>
      <c r="T43" s="8">
        <v>522955.94485234132</v>
      </c>
      <c r="U43" s="8">
        <v>517617.84402023169</v>
      </c>
      <c r="V43" s="8">
        <v>512457.67988252564</v>
      </c>
      <c r="W43" s="8">
        <v>507297.51574481971</v>
      </c>
      <c r="X43" s="8">
        <v>502226.31995431561</v>
      </c>
      <c r="Y43" s="8">
        <v>497155.12416381133</v>
      </c>
      <c r="Z43" s="8">
        <v>492261.86506771093</v>
      </c>
      <c r="AA43" s="8">
        <v>487279.63762440853</v>
      </c>
      <c r="AB43" s="8">
        <v>482386.37852830807</v>
      </c>
      <c r="AC43" s="8">
        <v>477493.11943220755</v>
      </c>
      <c r="AD43" s="8">
        <v>472599.86033610703</v>
      </c>
      <c r="AE43" s="8">
        <v>467617.63289280463</v>
      </c>
      <c r="AF43" s="8">
        <v>462635.40544950234</v>
      </c>
      <c r="AG43" s="8">
        <v>457564.20965899818</v>
      </c>
      <c r="AH43" s="8">
        <v>452315.07717409031</v>
      </c>
      <c r="AI43" s="8">
        <v>447065.94468918251</v>
      </c>
      <c r="AJ43" s="8">
        <v>441638.87550987111</v>
      </c>
      <c r="AK43" s="8">
        <v>436033.86963615596</v>
      </c>
      <c r="AL43" s="8">
        <v>430250.92706803721</v>
      </c>
      <c r="AM43" s="8">
        <v>424290.04780551471</v>
      </c>
      <c r="AN43" s="8">
        <v>418151.23184858868</v>
      </c>
      <c r="AO43" s="8">
        <v>411745.51085005712</v>
      </c>
      <c r="AP43" s="8">
        <v>405072.88480992004</v>
      </c>
      <c r="AQ43" s="8">
        <v>398133.35372817749</v>
      </c>
      <c r="AR43" s="8">
        <v>390926.91760482948</v>
      </c>
      <c r="AS43" s="8">
        <v>383364.60809267417</v>
      </c>
      <c r="AT43" s="8">
        <v>375535.39353891334</v>
      </c>
      <c r="AU43" s="8">
        <v>367350.30559634522</v>
      </c>
      <c r="AV43" s="8">
        <v>358809.34426496981</v>
      </c>
      <c r="AW43" s="8">
        <v>349912.50954478706</v>
      </c>
      <c r="AX43" s="8">
        <v>340570.83308859519</v>
      </c>
      <c r="AY43" s="8">
        <v>330873.28324359603</v>
      </c>
      <c r="AZ43" s="8">
        <v>320819.86000978947</v>
      </c>
      <c r="BA43" s="8">
        <v>310321.59503997391</v>
      </c>
      <c r="BB43" s="8">
        <v>299378.48833414912</v>
      </c>
      <c r="BC43" s="8">
        <v>288079.50823951705</v>
      </c>
      <c r="BD43" s="8">
        <v>276424.65475607768</v>
      </c>
      <c r="BE43" s="8">
        <v>264324.95953662915</v>
      </c>
      <c r="BF43" s="8">
        <v>251869.39092837332</v>
      </c>
      <c r="BG43" s="8">
        <v>239057.94893131015</v>
      </c>
      <c r="BH43" s="8">
        <v>225979.60189264157</v>
      </c>
      <c r="BI43" s="8">
        <v>212634.34981236744</v>
      </c>
      <c r="BJ43" s="8">
        <v>199022.19269048783</v>
      </c>
      <c r="BK43" s="8">
        <v>185321.06722140644</v>
      </c>
      <c r="BL43" s="8">
        <v>171530.97340512319</v>
      </c>
      <c r="BM43" s="8">
        <v>157651.91124163812</v>
      </c>
      <c r="BN43" s="8">
        <v>143950.7857725567</v>
      </c>
      <c r="BO43" s="8">
        <v>130338.6286506771</v>
      </c>
      <c r="BP43" s="8">
        <v>116993.37657040301</v>
      </c>
      <c r="BQ43" s="8">
        <v>104092.96622613804</v>
      </c>
      <c r="BR43" s="8">
        <v>91637.39761788219</v>
      </c>
      <c r="BS43" s="8">
        <v>79715.639092837329</v>
      </c>
      <c r="BT43" s="8">
        <v>68505.627345407091</v>
      </c>
      <c r="BU43" s="8">
        <v>58096.330722793275</v>
      </c>
      <c r="BV43" s="8">
        <v>48576.717572197747</v>
      </c>
      <c r="BW43" s="8">
        <v>39946.787893620494</v>
      </c>
      <c r="BX43" s="8">
        <v>32295.510034263338</v>
      </c>
      <c r="BY43" s="8">
        <v>25622.883994126281</v>
      </c>
      <c r="BZ43" s="8">
        <v>19839.941426007506</v>
      </c>
      <c r="CA43" s="8">
        <v>15035.650677108824</v>
      </c>
      <c r="CB43" s="8">
        <v>11121.043400228424</v>
      </c>
      <c r="CC43" s="8">
        <v>8007.1512481644631</v>
      </c>
      <c r="CD43" s="8">
        <v>5605.0058737151248</v>
      </c>
      <c r="CE43" s="8">
        <v>3647.7022352749223</v>
      </c>
      <c r="CF43" s="8">
        <v>2313.1770272475119</v>
      </c>
      <c r="CG43" s="8">
        <v>1067.6201664219284</v>
      </c>
      <c r="CH43" s="8">
        <v>444.84173600913692</v>
      </c>
      <c r="CI43" s="8">
        <v>266.9050416054821</v>
      </c>
      <c r="CJ43" s="8">
        <v>88.968347201827385</v>
      </c>
      <c r="CK43" s="8">
        <v>0</v>
      </c>
      <c r="CL43" s="8">
        <v>0</v>
      </c>
      <c r="CM43" s="8">
        <v>0</v>
      </c>
    </row>
    <row r="44" spans="3:98">
      <c r="C44" s="8">
        <f>1788-L44</f>
        <v>1760</v>
      </c>
      <c r="D44" s="8">
        <v>31708</v>
      </c>
      <c r="E44" s="8">
        <v>495018</v>
      </c>
      <c r="F44" s="8">
        <v>500237.71805441048</v>
      </c>
      <c r="G44" s="8">
        <v>495200.60214344604</v>
      </c>
      <c r="H44" s="8">
        <v>490250.3330585325</v>
      </c>
      <c r="I44" s="8">
        <f>F44/E44</f>
        <v>1.010544501521986</v>
      </c>
      <c r="J44" s="8">
        <f>G44/E44</f>
        <v>1.0003688798052719</v>
      </c>
      <c r="K44" s="8">
        <f>H44/E44</f>
        <v>0.99036869984229359</v>
      </c>
      <c r="L44" s="8">
        <v>28</v>
      </c>
      <c r="M44" s="8">
        <v>0.60019999999999996</v>
      </c>
      <c r="N44" s="8">
        <f t="shared" si="11"/>
        <v>0.98961253091508639</v>
      </c>
      <c r="O44" s="8">
        <f t="shared" si="12"/>
        <v>0.98961253091508639</v>
      </c>
      <c r="P44" s="8">
        <v>526726</v>
      </c>
      <c r="Q44" s="8">
        <v>521254.6499587798</v>
      </c>
      <c r="R44" s="8">
        <v>515783.29991755978</v>
      </c>
      <c r="S44" s="8">
        <v>510485.64352844184</v>
      </c>
      <c r="T44" s="8">
        <v>505274.83396537503</v>
      </c>
      <c r="U44" s="8">
        <v>500237.71805441048</v>
      </c>
      <c r="V44" s="8">
        <v>495200.60214344604</v>
      </c>
      <c r="W44" s="8">
        <v>490250.3330585325</v>
      </c>
      <c r="X44" s="8">
        <v>485300.06397361908</v>
      </c>
      <c r="Y44" s="8">
        <v>480523.48854080791</v>
      </c>
      <c r="Z44" s="8">
        <v>475660.0662819455</v>
      </c>
      <c r="AA44" s="8">
        <v>470883.49084913434</v>
      </c>
      <c r="AB44" s="8">
        <v>466106.91541632311</v>
      </c>
      <c r="AC44" s="8">
        <v>461330.33998351189</v>
      </c>
      <c r="AD44" s="8">
        <v>456466.91772464954</v>
      </c>
      <c r="AE44" s="8">
        <v>451603.4954657873</v>
      </c>
      <c r="AF44" s="8">
        <v>446653.22638087376</v>
      </c>
      <c r="AG44" s="8">
        <v>441529.26364385814</v>
      </c>
      <c r="AH44" s="8">
        <v>436405.3009068424</v>
      </c>
      <c r="AI44" s="8">
        <v>431107.64451772464</v>
      </c>
      <c r="AJ44" s="8">
        <v>425636.2944765045</v>
      </c>
      <c r="AK44" s="8">
        <v>419991.25078318216</v>
      </c>
      <c r="AL44" s="8">
        <v>414172.51343775762</v>
      </c>
      <c r="AM44" s="8">
        <v>408180.08244023076</v>
      </c>
      <c r="AN44" s="8">
        <v>401927.11096455069</v>
      </c>
      <c r="AO44" s="8">
        <v>395413.59901071718</v>
      </c>
      <c r="AP44" s="8">
        <v>388639.5465787304</v>
      </c>
      <c r="AQ44" s="8">
        <v>381604.95366859023</v>
      </c>
      <c r="AR44" s="8">
        <v>374222.97345424566</v>
      </c>
      <c r="AS44" s="8">
        <v>366580.4527617477</v>
      </c>
      <c r="AT44" s="8">
        <v>358590.54476504534</v>
      </c>
      <c r="AU44" s="8">
        <v>350253.24946413847</v>
      </c>
      <c r="AV44" s="8">
        <v>341568.5668590272</v>
      </c>
      <c r="AW44" s="8">
        <v>332449.65012366028</v>
      </c>
      <c r="AX44" s="8">
        <v>322983.34608408902</v>
      </c>
      <c r="AY44" s="8">
        <v>313169.65474031324</v>
      </c>
      <c r="AZ44" s="8">
        <v>302921.72926628194</v>
      </c>
      <c r="BA44" s="8">
        <v>292239.56966199505</v>
      </c>
      <c r="BB44" s="8">
        <v>281210.02275350364</v>
      </c>
      <c r="BC44" s="8">
        <v>269833.08854080789</v>
      </c>
      <c r="BD44" s="8">
        <v>258021.92019785653</v>
      </c>
      <c r="BE44" s="8">
        <v>245863.36455070073</v>
      </c>
      <c r="BF44" s="8">
        <v>233357.42159934045</v>
      </c>
      <c r="BG44" s="8">
        <v>220590.93816982687</v>
      </c>
      <c r="BH44" s="8">
        <v>207563.9142621599</v>
      </c>
      <c r="BI44" s="8">
        <v>194276.34987633966</v>
      </c>
      <c r="BJ44" s="8">
        <v>180901.93866446827</v>
      </c>
      <c r="BK44" s="8">
        <v>167440.68062654574</v>
      </c>
      <c r="BL44" s="8">
        <v>153892.57576257215</v>
      </c>
      <c r="BM44" s="8">
        <v>140518.16455070072</v>
      </c>
      <c r="BN44" s="8">
        <v>127230.60016488045</v>
      </c>
      <c r="BO44" s="8">
        <v>114203.57625721351</v>
      </c>
      <c r="BP44" s="8">
        <v>101610.78647980215</v>
      </c>
      <c r="BQ44" s="8">
        <v>89452.230832646324</v>
      </c>
      <c r="BR44" s="8">
        <v>77814.756141797188</v>
      </c>
      <c r="BS44" s="8">
        <v>66872.056059356968</v>
      </c>
      <c r="BT44" s="8">
        <v>56710.977411376742</v>
      </c>
      <c r="BU44" s="8">
        <v>47418.367023907667</v>
      </c>
      <c r="BV44" s="8">
        <v>38994.224896949709</v>
      </c>
      <c r="BW44" s="8">
        <v>31525.397856553995</v>
      </c>
      <c r="BX44" s="8">
        <v>25011.885902720525</v>
      </c>
      <c r="BY44" s="8">
        <v>19366.842209398183</v>
      </c>
      <c r="BZ44" s="8">
        <v>14677.113602638085</v>
      </c>
      <c r="CA44" s="8">
        <v>10855.853256389119</v>
      </c>
      <c r="CB44" s="8">
        <v>7816.2143446001637</v>
      </c>
      <c r="CC44" s="8">
        <v>5471.3500412201147</v>
      </c>
      <c r="CD44" s="8">
        <v>3560.7198680956308</v>
      </c>
      <c r="CE44" s="8">
        <v>2258.0174773289364</v>
      </c>
      <c r="CF44" s="8">
        <v>1042.1619126133553</v>
      </c>
      <c r="CG44" s="8">
        <v>434.23413025556471</v>
      </c>
      <c r="CH44" s="8">
        <v>260.54047815333882</v>
      </c>
      <c r="CI44" s="8">
        <v>86.846826051112942</v>
      </c>
    </row>
    <row r="45" spans="3:98">
      <c r="C45" s="8">
        <f>1788-L45</f>
        <v>1759</v>
      </c>
      <c r="D45" s="8">
        <v>13077</v>
      </c>
      <c r="E45" s="8">
        <v>576105</v>
      </c>
      <c r="F45" s="8">
        <v>559732.71642785741</v>
      </c>
      <c r="G45" s="8">
        <v>554137.35254915035</v>
      </c>
      <c r="H45" s="8">
        <v>548541.98867044318</v>
      </c>
      <c r="I45" s="8">
        <f>F45/E45</f>
        <v>0.97158107710896002</v>
      </c>
      <c r="J45" s="8">
        <f>G45/E45</f>
        <v>0.96186867419854083</v>
      </c>
      <c r="K45" s="8">
        <f>H45/E45</f>
        <v>0.95215627128812141</v>
      </c>
      <c r="L45" s="8">
        <v>29</v>
      </c>
      <c r="M45" s="8">
        <v>0.59389999999999998</v>
      </c>
      <c r="N45" s="8">
        <f t="shared" si="11"/>
        <v>0.98950349883372224</v>
      </c>
      <c r="O45" s="8">
        <f t="shared" si="12"/>
        <v>0.98950349883372213</v>
      </c>
      <c r="P45" s="8">
        <v>589182</v>
      </c>
      <c r="Q45" s="8">
        <v>582997.65044985013</v>
      </c>
      <c r="R45" s="8">
        <v>577009.62945684767</v>
      </c>
      <c r="S45" s="8">
        <v>571119.77274241915</v>
      </c>
      <c r="T45" s="8">
        <v>565426.24458513828</v>
      </c>
      <c r="U45" s="8">
        <v>559732.71642785741</v>
      </c>
      <c r="V45" s="8">
        <v>554137.35254915035</v>
      </c>
      <c r="W45" s="8">
        <v>548541.98867044318</v>
      </c>
      <c r="X45" s="8">
        <v>543142.95334888378</v>
      </c>
      <c r="Y45" s="8">
        <v>537645.75374875043</v>
      </c>
      <c r="Z45" s="8">
        <v>532246.71842719102</v>
      </c>
      <c r="AA45" s="8">
        <v>526847.68310563138</v>
      </c>
      <c r="AB45" s="8">
        <v>521448.64778407203</v>
      </c>
      <c r="AC45" s="8">
        <v>515951.44818393869</v>
      </c>
      <c r="AD45" s="8">
        <v>510454.24858380546</v>
      </c>
      <c r="AE45" s="8">
        <v>504858.88470509835</v>
      </c>
      <c r="AF45" s="8">
        <v>499067.19226924365</v>
      </c>
      <c r="AG45" s="8">
        <v>493275.49983338884</v>
      </c>
      <c r="AH45" s="8">
        <v>487287.47884038655</v>
      </c>
      <c r="AI45" s="8">
        <v>481103.12929023663</v>
      </c>
      <c r="AJ45" s="8">
        <v>474722.45118293905</v>
      </c>
      <c r="AK45" s="8">
        <v>468145.4445184939</v>
      </c>
      <c r="AL45" s="8">
        <v>461372.10929690104</v>
      </c>
      <c r="AM45" s="8">
        <v>454304.28123958677</v>
      </c>
      <c r="AN45" s="8">
        <v>446941.96034655115</v>
      </c>
      <c r="AO45" s="8">
        <v>439285.14661779412</v>
      </c>
      <c r="AP45" s="8">
        <v>431333.84005331562</v>
      </c>
      <c r="AQ45" s="8">
        <v>422989.87637454184</v>
      </c>
      <c r="AR45" s="8">
        <v>414351.41986004665</v>
      </c>
      <c r="AS45" s="8">
        <v>405320.30623125623</v>
      </c>
      <c r="AT45" s="8">
        <v>395896.53548817063</v>
      </c>
      <c r="AU45" s="8">
        <v>386080.10763078975</v>
      </c>
      <c r="AV45" s="8">
        <v>375772.85838053981</v>
      </c>
      <c r="AW45" s="8">
        <v>365072.9520159947</v>
      </c>
      <c r="AX45" s="8">
        <v>353980.3885371543</v>
      </c>
      <c r="AY45" s="8">
        <v>342397.00366544491</v>
      </c>
      <c r="AZ45" s="8">
        <v>330322.7974008664</v>
      </c>
      <c r="BA45" s="8">
        <v>317855.93402199267</v>
      </c>
      <c r="BB45" s="8">
        <v>304996.41352882376</v>
      </c>
      <c r="BC45" s="8">
        <v>291646.07164278574</v>
      </c>
      <c r="BD45" s="8">
        <v>277903.07264245255</v>
      </c>
      <c r="BE45" s="8">
        <v>263767.41652782407</v>
      </c>
      <c r="BF45" s="8">
        <v>249337.26757747421</v>
      </c>
      <c r="BG45" s="8">
        <v>234612.62579140288</v>
      </c>
      <c r="BH45" s="8">
        <v>219593.49116961015</v>
      </c>
      <c r="BI45" s="8">
        <v>204476.19226924362</v>
      </c>
      <c r="BJ45" s="8">
        <v>189260.72909030324</v>
      </c>
      <c r="BK45" s="8">
        <v>173947.10163278907</v>
      </c>
      <c r="BL45" s="8">
        <v>158829.80273242254</v>
      </c>
      <c r="BM45" s="8">
        <v>143810.66811062981</v>
      </c>
      <c r="BN45" s="8">
        <v>129086.02632455849</v>
      </c>
      <c r="BO45" s="8">
        <v>114852.20593135623</v>
      </c>
      <c r="BP45" s="8">
        <v>101109.206931023</v>
      </c>
      <c r="BQ45" s="8">
        <v>87955.193602132626</v>
      </c>
      <c r="BR45" s="8">
        <v>75586.494501832727</v>
      </c>
      <c r="BS45" s="8">
        <v>64101.273908697098</v>
      </c>
      <c r="BT45" s="8">
        <v>53597.696101299574</v>
      </c>
      <c r="BU45" s="8">
        <v>44075.761079640128</v>
      </c>
      <c r="BV45" s="8">
        <v>35633.633122292573</v>
      </c>
      <c r="BW45" s="8">
        <v>28271.312229256913</v>
      </c>
      <c r="BX45" s="8">
        <v>21890.634121959349</v>
      </c>
      <c r="BY45" s="8">
        <v>16589.763078973676</v>
      </c>
      <c r="BZ45" s="8">
        <v>12270.534821726093</v>
      </c>
      <c r="CA45" s="8">
        <v>8834.7850716427856</v>
      </c>
      <c r="CB45" s="8">
        <v>6184.3495501499501</v>
      </c>
      <c r="CC45" s="8">
        <v>4024.7354215261585</v>
      </c>
      <c r="CD45" s="8">
        <v>2552.2712429190274</v>
      </c>
      <c r="CE45" s="8">
        <v>1177.9713428857046</v>
      </c>
      <c r="CF45" s="8">
        <v>490.82139286904368</v>
      </c>
      <c r="CG45" s="8">
        <v>294.49283572142616</v>
      </c>
      <c r="CH45" s="8">
        <v>98.164278573808744</v>
      </c>
      <c r="CI45" s="8">
        <v>0</v>
      </c>
    </row>
    <row r="46" spans="3:98">
      <c r="C46" s="8">
        <f>1788-L46</f>
        <v>1758</v>
      </c>
      <c r="D46" s="8">
        <v>20069</v>
      </c>
      <c r="E46" s="8">
        <v>518481</v>
      </c>
      <c r="F46" s="8">
        <v>511890.00673514057</v>
      </c>
      <c r="G46" s="8">
        <v>506721.23253072909</v>
      </c>
      <c r="H46" s="8">
        <v>501733.81882471801</v>
      </c>
      <c r="I46" s="8">
        <f>F46/E46</f>
        <v>0.98728787889072223</v>
      </c>
      <c r="J46" s="8">
        <f>G46/E46</f>
        <v>0.97731880730582044</v>
      </c>
      <c r="K46" s="8">
        <f>H46/E46</f>
        <v>0.96769952770635381</v>
      </c>
      <c r="L46" s="8">
        <v>30</v>
      </c>
      <c r="M46" s="8">
        <v>0.58779999999999999</v>
      </c>
      <c r="N46" s="8">
        <f t="shared" si="11"/>
        <v>0.98972891059100854</v>
      </c>
      <c r="O46" s="8">
        <f t="shared" si="12"/>
        <v>0.98972891059100865</v>
      </c>
      <c r="P46" s="8">
        <v>538550</v>
      </c>
      <c r="Q46" s="8">
        <v>533018.50479878765</v>
      </c>
      <c r="R46" s="8">
        <v>527577.68984677561</v>
      </c>
      <c r="S46" s="8">
        <v>522318.23539316381</v>
      </c>
      <c r="T46" s="8">
        <v>517058.78093955218</v>
      </c>
      <c r="U46" s="8">
        <v>511890.00673514057</v>
      </c>
      <c r="V46" s="8">
        <v>506721.23253072909</v>
      </c>
      <c r="W46" s="8">
        <v>501733.81882471801</v>
      </c>
      <c r="X46" s="8">
        <v>496655.72486950661</v>
      </c>
      <c r="Y46" s="8">
        <v>491668.31116349553</v>
      </c>
      <c r="Z46" s="8">
        <v>486680.89745748439</v>
      </c>
      <c r="AA46" s="8">
        <v>481693.48375147337</v>
      </c>
      <c r="AB46" s="8">
        <v>476615.38979626197</v>
      </c>
      <c r="AC46" s="8">
        <v>471537.29584105068</v>
      </c>
      <c r="AD46" s="8">
        <v>466368.5216366392</v>
      </c>
      <c r="AE46" s="8">
        <v>461018.38693382725</v>
      </c>
      <c r="AF46" s="8">
        <v>455668.25223101536</v>
      </c>
      <c r="AG46" s="8">
        <v>450136.75702980306</v>
      </c>
      <c r="AH46" s="8">
        <v>444423.90133019025</v>
      </c>
      <c r="AI46" s="8">
        <v>438529.68513217714</v>
      </c>
      <c r="AJ46" s="8">
        <v>432454.10843576363</v>
      </c>
      <c r="AK46" s="8">
        <v>426197.17124094965</v>
      </c>
      <c r="AL46" s="8">
        <v>419668.19329853513</v>
      </c>
      <c r="AM46" s="8">
        <v>412867.17460851994</v>
      </c>
      <c r="AN46" s="8">
        <v>405794.1151709042</v>
      </c>
      <c r="AO46" s="8">
        <v>398449.01498568786</v>
      </c>
      <c r="AP46" s="8">
        <v>390741.1938036707</v>
      </c>
      <c r="AQ46" s="8">
        <v>382761.33187405288</v>
      </c>
      <c r="AR46" s="8">
        <v>374418.74894763425</v>
      </c>
      <c r="AS46" s="8">
        <v>365713.44502441486</v>
      </c>
      <c r="AT46" s="8">
        <v>356645.42010439467</v>
      </c>
      <c r="AU46" s="8">
        <v>347123.9939383734</v>
      </c>
      <c r="AV46" s="8">
        <v>337239.84677555144</v>
      </c>
      <c r="AW46" s="8">
        <v>326992.97861592856</v>
      </c>
      <c r="AX46" s="8">
        <v>316292.70921030478</v>
      </c>
      <c r="AY46" s="8">
        <v>305139.03855867992</v>
      </c>
      <c r="AZ46" s="8">
        <v>293622.64691025426</v>
      </c>
      <c r="BA46" s="8">
        <v>281743.53426502779</v>
      </c>
      <c r="BB46" s="8">
        <v>269411.0203738003</v>
      </c>
      <c r="BC46" s="8">
        <v>256715.78548577204</v>
      </c>
      <c r="BD46" s="8">
        <v>243657.82960094293</v>
      </c>
      <c r="BE46" s="8">
        <v>230327.83296851325</v>
      </c>
      <c r="BF46" s="8">
        <v>216725.7955884829</v>
      </c>
      <c r="BG46" s="8">
        <v>202851.71746085203</v>
      </c>
      <c r="BH46" s="8">
        <v>188886.9590840209</v>
      </c>
      <c r="BI46" s="8">
        <v>174831.52045798957</v>
      </c>
      <c r="BJ46" s="8">
        <v>160685.40158275803</v>
      </c>
      <c r="BK46" s="8">
        <v>146720.64320592693</v>
      </c>
      <c r="BL46" s="8">
        <v>132846.565078296</v>
      </c>
      <c r="BM46" s="8">
        <v>119244.52769826569</v>
      </c>
      <c r="BN46" s="8">
        <v>106095.89156423642</v>
      </c>
      <c r="BO46" s="8">
        <v>93400.656676208106</v>
      </c>
      <c r="BP46" s="8">
        <v>81249.50328338104</v>
      </c>
      <c r="BQ46" s="8">
        <v>69823.79188415558</v>
      </c>
      <c r="BR46" s="8">
        <v>59214.202727731936</v>
      </c>
      <c r="BS46" s="8">
        <v>49511.416063310324</v>
      </c>
      <c r="BT46" s="8">
        <v>40715.431890890723</v>
      </c>
      <c r="BU46" s="8">
        <v>32916.930459673342</v>
      </c>
      <c r="BV46" s="8">
        <v>26115.911769658192</v>
      </c>
      <c r="BW46" s="8">
        <v>20221.695571645061</v>
      </c>
      <c r="BX46" s="8">
        <v>15324.962114834147</v>
      </c>
      <c r="BY46" s="8">
        <v>11335.031150025257</v>
      </c>
      <c r="BZ46" s="8">
        <v>8161.2224280181845</v>
      </c>
      <c r="CA46" s="8">
        <v>5712.8556996127299</v>
      </c>
      <c r="CB46" s="8">
        <v>3717.8902172082849</v>
      </c>
      <c r="CC46" s="8">
        <v>2357.6864792052534</v>
      </c>
      <c r="CD46" s="8">
        <v>1088.1629904024246</v>
      </c>
      <c r="CE46" s="8">
        <v>453.40124600101024</v>
      </c>
      <c r="CF46" s="8">
        <v>272.04074760060615</v>
      </c>
      <c r="CG46" s="8">
        <v>90.68024920020207</v>
      </c>
      <c r="CH46" s="8">
        <v>0</v>
      </c>
      <c r="CI46" s="8">
        <v>0</v>
      </c>
    </row>
    <row r="47" spans="3:98">
      <c r="L47" s="8">
        <v>31</v>
      </c>
      <c r="M47" s="8">
        <v>0.58179999999999998</v>
      </c>
      <c r="N47" s="8">
        <f t="shared" si="11"/>
        <v>0.98972891059100865</v>
      </c>
      <c r="O47" s="8">
        <f t="shared" si="12"/>
        <v>0.9897924464103437</v>
      </c>
      <c r="P47" s="8">
        <v>677162.78104517271</v>
      </c>
      <c r="Q47" s="8">
        <v>670207.5815766165</v>
      </c>
      <c r="R47" s="8">
        <v>663366.40177147917</v>
      </c>
      <c r="S47" s="8">
        <v>656753.2612931797</v>
      </c>
      <c r="T47" s="8">
        <v>650140.12081488047</v>
      </c>
      <c r="U47" s="8">
        <v>643641</v>
      </c>
      <c r="V47" s="8">
        <v>637305.95078740164</v>
      </c>
      <c r="W47" s="8">
        <v>630855.71886184684</v>
      </c>
      <c r="X47" s="8">
        <v>624520.66964924848</v>
      </c>
      <c r="Y47" s="8">
        <v>618185.62043665</v>
      </c>
      <c r="Z47" s="8">
        <v>611850.57122405164</v>
      </c>
      <c r="AA47" s="8">
        <v>605400.33929849684</v>
      </c>
      <c r="AB47" s="8">
        <v>598950.10737294215</v>
      </c>
      <c r="AC47" s="8">
        <v>592384.69273443101</v>
      </c>
      <c r="AD47" s="8">
        <v>585588.91267000721</v>
      </c>
      <c r="AE47" s="8">
        <v>578793.13260558341</v>
      </c>
      <c r="AF47" s="8">
        <v>571766.98711524706</v>
      </c>
      <c r="AG47" s="8">
        <v>564510.47619899793</v>
      </c>
      <c r="AH47" s="8">
        <v>557023.59985683614</v>
      </c>
      <c r="AI47" s="8">
        <v>549306.35808876168</v>
      </c>
      <c r="AJ47" s="8">
        <v>541358.75089477457</v>
      </c>
      <c r="AK47" s="8">
        <v>533065.59556191845</v>
      </c>
      <c r="AL47" s="8">
        <v>524426.89209019335</v>
      </c>
      <c r="AM47" s="8">
        <v>515442.64047959924</v>
      </c>
      <c r="AN47" s="8">
        <v>506112.84073013609</v>
      </c>
      <c r="AO47" s="8">
        <v>496322.3101288476</v>
      </c>
      <c r="AP47" s="8">
        <v>486186.23138869007</v>
      </c>
      <c r="AQ47" s="8">
        <v>475589.42179670726</v>
      </c>
      <c r="AR47" s="8">
        <v>464531.88135289913</v>
      </c>
      <c r="AS47" s="8">
        <v>453013.61005726561</v>
      </c>
      <c r="AT47" s="8">
        <v>440919.42519685044</v>
      </c>
      <c r="AU47" s="8">
        <v>428364.50948460994</v>
      </c>
      <c r="AV47" s="8">
        <v>415348.86292054405</v>
      </c>
      <c r="AW47" s="8">
        <v>401757.30279169657</v>
      </c>
      <c r="AX47" s="8">
        <v>387589.82909806736</v>
      </c>
      <c r="AY47" s="8">
        <v>372961.62455261278</v>
      </c>
      <c r="AZ47" s="8">
        <v>357872.68915533286</v>
      </c>
      <c r="BA47" s="8">
        <v>342207.84019327129</v>
      </c>
      <c r="BB47" s="8">
        <v>326082.26037938445</v>
      </c>
      <c r="BC47" s="8">
        <v>309495.94971367216</v>
      </c>
      <c r="BD47" s="8">
        <v>292564.09090909094</v>
      </c>
      <c r="BE47" s="8">
        <v>275286.68396564067</v>
      </c>
      <c r="BF47" s="8">
        <v>257663.72888332143</v>
      </c>
      <c r="BG47" s="8">
        <v>239925.59108804583</v>
      </c>
      <c r="BH47" s="8">
        <v>222072.27057981389</v>
      </c>
      <c r="BI47" s="8">
        <v>204103.76735862563</v>
      </c>
      <c r="BJ47" s="8">
        <v>186365.62956335003</v>
      </c>
      <c r="BK47" s="8">
        <v>168742.67448103076</v>
      </c>
      <c r="BL47" s="8">
        <v>151465.26753758051</v>
      </c>
      <c r="BM47" s="8">
        <v>134763.77415891195</v>
      </c>
      <c r="BN47" s="8">
        <v>118638.19434502504</v>
      </c>
      <c r="BO47" s="8">
        <v>103203.71080887616</v>
      </c>
      <c r="BP47" s="8">
        <v>88690.688976377947</v>
      </c>
      <c r="BQ47" s="8">
        <v>75214.311560486749</v>
      </c>
      <c r="BR47" s="8">
        <v>62889.761274158911</v>
      </c>
      <c r="BS47" s="8">
        <v>51717.038117394419</v>
      </c>
      <c r="BT47" s="8">
        <v>41811.324803149604</v>
      </c>
      <c r="BU47" s="8">
        <v>33172.621331424481</v>
      </c>
      <c r="BV47" s="8">
        <v>25685.744989262708</v>
      </c>
      <c r="BW47" s="8">
        <v>19465.878489620616</v>
      </c>
      <c r="BX47" s="8">
        <v>14397.839119541877</v>
      </c>
      <c r="BY47" s="8">
        <v>10366.44416607015</v>
      </c>
      <c r="BZ47" s="8">
        <v>7256.5109162491062</v>
      </c>
      <c r="CA47" s="8">
        <v>4722.4912312097358</v>
      </c>
      <c r="CB47" s="8">
        <v>2994.7505368647103</v>
      </c>
      <c r="CC47" s="8">
        <v>1382.1925554760201</v>
      </c>
      <c r="CD47" s="8">
        <v>575.91356478167506</v>
      </c>
      <c r="CE47" s="8">
        <v>345.54813886900502</v>
      </c>
      <c r="CF47" s="8">
        <v>115.18271295633502</v>
      </c>
      <c r="CG47" s="8">
        <v>0</v>
      </c>
    </row>
    <row r="48" spans="3:98">
      <c r="C48" s="8">
        <f t="shared" ref="C48:C58" si="13">1788-L48</f>
        <v>1757</v>
      </c>
      <c r="D48" s="8">
        <v>20886</v>
      </c>
      <c r="E48" s="8">
        <v>664026</v>
      </c>
      <c r="F48" s="8">
        <v>651120.83293637284</v>
      </c>
      <c r="G48" s="8">
        <v>644712.16332085757</v>
      </c>
      <c r="H48" s="8">
        <v>638186.97243960528</v>
      </c>
      <c r="I48" s="8">
        <f t="shared" ref="I48:I58" si="14">F48/E48</f>
        <v>0.98056526843282166</v>
      </c>
      <c r="J48" s="8">
        <f t="shared" ref="J48:J58" si="15">G48/E48</f>
        <v>0.97091403547580601</v>
      </c>
      <c r="K48" s="8">
        <f t="shared" ref="K48:K58" si="16">H48/E48</f>
        <v>0.96108732555593501</v>
      </c>
      <c r="L48" s="8">
        <v>31</v>
      </c>
      <c r="M48" s="8">
        <v>0.58179999999999998</v>
      </c>
      <c r="N48" s="8">
        <f t="shared" si="11"/>
        <v>0.9897924464103437</v>
      </c>
      <c r="O48" s="8">
        <f t="shared" si="12"/>
        <v>1</v>
      </c>
      <c r="P48" s="8">
        <v>684912</v>
      </c>
      <c r="Q48" s="8">
        <v>677920.72405580129</v>
      </c>
      <c r="R48" s="8">
        <v>671162.4906430759</v>
      </c>
      <c r="S48" s="8">
        <v>664404.25723035051</v>
      </c>
      <c r="T48" s="8">
        <v>657762.54508336179</v>
      </c>
      <c r="U48" s="8">
        <v>651120.83293637284</v>
      </c>
      <c r="V48" s="8">
        <v>644712.16332085757</v>
      </c>
      <c r="W48" s="8">
        <v>638186.97243960528</v>
      </c>
      <c r="X48" s="8">
        <v>631778.30282408977</v>
      </c>
      <c r="Y48" s="8">
        <v>625369.63320857438</v>
      </c>
      <c r="Z48" s="8">
        <v>618960.96359305887</v>
      </c>
      <c r="AA48" s="8">
        <v>612435.7727118067</v>
      </c>
      <c r="AB48" s="8">
        <v>605910.58183055464</v>
      </c>
      <c r="AC48" s="8">
        <v>599268.86968356592</v>
      </c>
      <c r="AD48" s="8">
        <v>592394.11500510375</v>
      </c>
      <c r="AE48" s="8">
        <v>585519.3603266417</v>
      </c>
      <c r="AF48" s="8">
        <v>578411.56311670644</v>
      </c>
      <c r="AG48" s="8">
        <v>571070.72337529773</v>
      </c>
      <c r="AH48" s="8">
        <v>563496.84110241581</v>
      </c>
      <c r="AI48" s="8">
        <v>555689.91629806056</v>
      </c>
      <c r="AJ48" s="8">
        <v>547649.94896223198</v>
      </c>
      <c r="AK48" s="8">
        <v>539260.41782919364</v>
      </c>
      <c r="AL48" s="8">
        <v>530521.32289894519</v>
      </c>
      <c r="AM48" s="8">
        <v>521432.66417148692</v>
      </c>
      <c r="AN48" s="8">
        <v>511994.44164681871</v>
      </c>
      <c r="AO48" s="8">
        <v>502090.13405920379</v>
      </c>
      <c r="AP48" s="8">
        <v>491836.26267437905</v>
      </c>
      <c r="AQ48" s="8">
        <v>481116.30622660764</v>
      </c>
      <c r="AR48" s="8">
        <v>469930.26471588976</v>
      </c>
      <c r="AS48" s="8">
        <v>458278.13814222527</v>
      </c>
      <c r="AT48" s="8">
        <v>446043.40523987752</v>
      </c>
      <c r="AU48" s="8">
        <v>433342.58727458323</v>
      </c>
      <c r="AV48" s="8">
        <v>420175.68424634228</v>
      </c>
      <c r="AW48" s="8">
        <v>406426.17488941818</v>
      </c>
      <c r="AX48" s="8">
        <v>392094.05920381082</v>
      </c>
      <c r="AY48" s="8">
        <v>377295.85845525685</v>
      </c>
      <c r="AZ48" s="8">
        <v>362031.57264375634</v>
      </c>
      <c r="BA48" s="8">
        <v>346184.68050357263</v>
      </c>
      <c r="BB48" s="8">
        <v>329871.70330044237</v>
      </c>
      <c r="BC48" s="8">
        <v>313092.6410343654</v>
      </c>
      <c r="BD48" s="8">
        <v>295964.01497107861</v>
      </c>
      <c r="BE48" s="8">
        <v>278485.82511058182</v>
      </c>
      <c r="BF48" s="8">
        <v>260658.07145287513</v>
      </c>
      <c r="BG48" s="8">
        <v>242713.79652943183</v>
      </c>
      <c r="BH48" s="8">
        <v>224653.00034025178</v>
      </c>
      <c r="BI48" s="8">
        <v>206475.68288533515</v>
      </c>
      <c r="BJ48" s="8">
        <v>188531.40796189179</v>
      </c>
      <c r="BK48" s="8">
        <v>170703.6543041851</v>
      </c>
      <c r="BL48" s="8">
        <v>153225.46444368834</v>
      </c>
      <c r="BM48" s="8">
        <v>136329.88091187479</v>
      </c>
      <c r="BN48" s="8">
        <v>120016.90370874447</v>
      </c>
      <c r="BO48" s="8">
        <v>104403.05410003403</v>
      </c>
      <c r="BP48" s="8">
        <v>89721.374617216745</v>
      </c>
      <c r="BQ48" s="8">
        <v>76088.386526029251</v>
      </c>
      <c r="BR48" s="8">
        <v>63620.611092208237</v>
      </c>
      <c r="BS48" s="8">
        <v>52318.048315753658</v>
      </c>
      <c r="BT48" s="8">
        <v>42297.219462402179</v>
      </c>
      <c r="BU48" s="8">
        <v>33558.124532153794</v>
      </c>
      <c r="BV48" s="8">
        <v>25984.242259271861</v>
      </c>
      <c r="BW48" s="8">
        <v>19692.093909493022</v>
      </c>
      <c r="BX48" s="8">
        <v>14565.15821708064</v>
      </c>
      <c r="BY48" s="8">
        <v>10486.913916298061</v>
      </c>
      <c r="BZ48" s="8">
        <v>7340.8397414086421</v>
      </c>
      <c r="CA48" s="8">
        <v>4777.3718952024501</v>
      </c>
      <c r="CB48" s="8">
        <v>3029.5529091527728</v>
      </c>
      <c r="CC48" s="8">
        <v>1398.2551888397413</v>
      </c>
      <c r="CD48" s="8">
        <v>582.60632868322568</v>
      </c>
      <c r="CE48" s="8">
        <v>349.56379720993533</v>
      </c>
      <c r="CF48" s="8">
        <v>116.52126573664513</v>
      </c>
      <c r="CG48" s="8">
        <v>0</v>
      </c>
      <c r="CH48" s="8">
        <v>0</v>
      </c>
      <c r="CI48" s="8">
        <v>0</v>
      </c>
    </row>
    <row r="49" spans="3:84">
      <c r="C49" s="8">
        <f t="shared" si="13"/>
        <v>1756</v>
      </c>
      <c r="D49" s="8">
        <v>38080</v>
      </c>
      <c r="E49" s="8">
        <v>644087</v>
      </c>
      <c r="F49" s="8">
        <v>648750.43159161229</v>
      </c>
      <c r="G49" s="8">
        <v>642184.36902715708</v>
      </c>
      <c r="H49" s="8">
        <v>635735.55757992435</v>
      </c>
      <c r="I49" s="8">
        <f t="shared" si="14"/>
        <v>1.0072403752778931</v>
      </c>
      <c r="J49" s="8">
        <f t="shared" si="15"/>
        <v>0.99704600314422909</v>
      </c>
      <c r="K49" s="8">
        <f t="shared" si="16"/>
        <v>0.98703367337009495</v>
      </c>
      <c r="L49" s="8">
        <v>32</v>
      </c>
      <c r="M49" s="8">
        <v>0.57599999999999996</v>
      </c>
      <c r="N49" s="8">
        <f t="shared" si="11"/>
        <v>0.9900309384668271</v>
      </c>
      <c r="O49" s="8">
        <f t="shared" si="12"/>
        <v>0.99003093846682699</v>
      </c>
      <c r="P49" s="8">
        <v>682167</v>
      </c>
      <c r="Q49" s="8">
        <v>675366.43520110007</v>
      </c>
      <c r="R49" s="8">
        <v>668565.87040220015</v>
      </c>
      <c r="S49" s="8">
        <v>661882.55672052247</v>
      </c>
      <c r="T49" s="8">
        <v>655199.2430388449</v>
      </c>
      <c r="U49" s="8">
        <v>648750.43159161229</v>
      </c>
      <c r="V49" s="8">
        <v>642184.36902715708</v>
      </c>
      <c r="W49" s="8">
        <v>635735.55757992435</v>
      </c>
      <c r="X49" s="8">
        <v>629286.74613269162</v>
      </c>
      <c r="Y49" s="8">
        <v>622837.93468545889</v>
      </c>
      <c r="Z49" s="8">
        <v>616271.87212100381</v>
      </c>
      <c r="AA49" s="8">
        <v>609705.80955654872</v>
      </c>
      <c r="AB49" s="8">
        <v>603022.49587487103</v>
      </c>
      <c r="AC49" s="8">
        <v>596104.67995874863</v>
      </c>
      <c r="AD49" s="8">
        <v>589186.86404262634</v>
      </c>
      <c r="AE49" s="8">
        <v>582034.54589205922</v>
      </c>
      <c r="AF49" s="8">
        <v>574647.72550704714</v>
      </c>
      <c r="AG49" s="8">
        <v>567026.40288759023</v>
      </c>
      <c r="AH49" s="8">
        <v>559170.57803368859</v>
      </c>
      <c r="AI49" s="8">
        <v>551080.25094534201</v>
      </c>
      <c r="AJ49" s="8">
        <v>542638.17050532834</v>
      </c>
      <c r="AK49" s="8">
        <v>533844.33671364735</v>
      </c>
      <c r="AL49" s="8">
        <v>524698.74957029906</v>
      </c>
      <c r="AM49" s="8">
        <v>515201.40907528356</v>
      </c>
      <c r="AN49" s="8">
        <v>505235.06411137851</v>
      </c>
      <c r="AO49" s="8">
        <v>494916.96579580609</v>
      </c>
      <c r="AP49" s="8">
        <v>484129.86301134404</v>
      </c>
      <c r="AQ49" s="8">
        <v>472873.75575799245</v>
      </c>
      <c r="AR49" s="8">
        <v>461148.64403575106</v>
      </c>
      <c r="AS49" s="8">
        <v>448837.27672739769</v>
      </c>
      <c r="AT49" s="8">
        <v>436056.90495015471</v>
      </c>
      <c r="AU49" s="8">
        <v>422807.528704022</v>
      </c>
      <c r="AV49" s="8">
        <v>408971.89687177725</v>
      </c>
      <c r="AW49" s="8">
        <v>394550.00945342041</v>
      </c>
      <c r="AX49" s="8">
        <v>379659.11756617395</v>
      </c>
      <c r="AY49" s="8">
        <v>364299.22121003777</v>
      </c>
      <c r="AZ49" s="8">
        <v>348353.0692677896</v>
      </c>
      <c r="BA49" s="8">
        <v>331937.91285665182</v>
      </c>
      <c r="BB49" s="8">
        <v>315053.75197662425</v>
      </c>
      <c r="BC49" s="8">
        <v>297817.83774492954</v>
      </c>
      <c r="BD49" s="8">
        <v>280230.17016156757</v>
      </c>
      <c r="BE49" s="8">
        <v>262290.74922653835</v>
      </c>
      <c r="BF49" s="8">
        <v>244234.07717428671</v>
      </c>
      <c r="BG49" s="8">
        <v>226060.15400481265</v>
      </c>
      <c r="BH49" s="8">
        <v>207768.9797181162</v>
      </c>
      <c r="BI49" s="8">
        <v>189712.30766586456</v>
      </c>
      <c r="BJ49" s="8">
        <v>171772.88673083534</v>
      </c>
      <c r="BK49" s="8">
        <v>154185.21914747337</v>
      </c>
      <c r="BL49" s="8">
        <v>137183.80715022347</v>
      </c>
      <c r="BM49" s="8">
        <v>120768.6507390856</v>
      </c>
      <c r="BN49" s="8">
        <v>105057.00103128224</v>
      </c>
      <c r="BO49" s="8">
        <v>90283.36026125816</v>
      </c>
      <c r="BP49" s="8">
        <v>76564.979546235816</v>
      </c>
      <c r="BQ49" s="8">
        <v>64019.110003437614</v>
      </c>
      <c r="BR49" s="8">
        <v>52645.751632863532</v>
      </c>
      <c r="BS49" s="8">
        <v>42562.155551735988</v>
      </c>
      <c r="BT49" s="8">
        <v>33768.321760054998</v>
      </c>
      <c r="BU49" s="8">
        <v>26146.999140598145</v>
      </c>
      <c r="BV49" s="8">
        <v>19815.438810587832</v>
      </c>
      <c r="BW49" s="8">
        <v>14656.38965280165</v>
      </c>
      <c r="BX49" s="8">
        <v>10552.600550017189</v>
      </c>
      <c r="BY49" s="8">
        <v>7386.8203850120326</v>
      </c>
      <c r="BZ49" s="8">
        <v>4807.2958061189411</v>
      </c>
      <c r="CA49" s="8">
        <v>3048.5290477827434</v>
      </c>
      <c r="CB49" s="8">
        <v>1407.0134066689584</v>
      </c>
      <c r="CC49" s="8">
        <v>586.255586112066</v>
      </c>
      <c r="CD49" s="8">
        <v>351.7533516672396</v>
      </c>
      <c r="CE49" s="8">
        <v>117.25111722241321</v>
      </c>
      <c r="CF49" s="8">
        <v>0</v>
      </c>
    </row>
    <row r="50" spans="3:84">
      <c r="C50" s="8">
        <f t="shared" si="13"/>
        <v>1755</v>
      </c>
      <c r="D50" s="8">
        <v>26489</v>
      </c>
      <c r="E50" s="8">
        <v>1215239</v>
      </c>
      <c r="F50" s="8">
        <v>1180719.4888888889</v>
      </c>
      <c r="G50" s="8">
        <v>1168862.7111111111</v>
      </c>
      <c r="H50" s="8">
        <v>1157005.9333333333</v>
      </c>
      <c r="I50" s="8">
        <f t="shared" si="14"/>
        <v>0.97159446733431765</v>
      </c>
      <c r="J50" s="8">
        <f t="shared" si="15"/>
        <v>0.96183772172478921</v>
      </c>
      <c r="K50" s="8">
        <f t="shared" si="16"/>
        <v>0.95208097611526077</v>
      </c>
      <c r="L50" s="8">
        <v>33</v>
      </c>
      <c r="M50" s="8">
        <v>0.57020000000000004</v>
      </c>
      <c r="N50" s="8">
        <f t="shared" si="11"/>
        <v>0.98993055555555576</v>
      </c>
      <c r="O50" s="8">
        <f t="shared" si="12"/>
        <v>0.98993055555555565</v>
      </c>
      <c r="P50" s="8">
        <v>1241728</v>
      </c>
      <c r="Q50" s="8">
        <v>1229224.4888888891</v>
      </c>
      <c r="R50" s="8">
        <v>1216936.5555555557</v>
      </c>
      <c r="S50" s="8">
        <v>1204648.6222222222</v>
      </c>
      <c r="T50" s="8">
        <v>1192791.8444444444</v>
      </c>
      <c r="U50" s="8">
        <v>1180719.4888888889</v>
      </c>
      <c r="V50" s="8">
        <v>1168862.7111111111</v>
      </c>
      <c r="W50" s="8">
        <v>1157005.9333333333</v>
      </c>
      <c r="X50" s="8">
        <v>1145149.1555555556</v>
      </c>
      <c r="Y50" s="8">
        <v>1133076.8</v>
      </c>
      <c r="Z50" s="8">
        <v>1121004.4444444447</v>
      </c>
      <c r="AA50" s="8">
        <v>1108716.5111111111</v>
      </c>
      <c r="AB50" s="8">
        <v>1095997.4222222222</v>
      </c>
      <c r="AC50" s="8">
        <v>1083278.3333333333</v>
      </c>
      <c r="AD50" s="8">
        <v>1070128.0888888889</v>
      </c>
      <c r="AE50" s="8">
        <v>1056546.688888889</v>
      </c>
      <c r="AF50" s="8">
        <v>1042534.1333333333</v>
      </c>
      <c r="AG50" s="8">
        <v>1028090.4222222223</v>
      </c>
      <c r="AH50" s="8">
        <v>1013215.5555555555</v>
      </c>
      <c r="AI50" s="8">
        <v>997693.95555555564</v>
      </c>
      <c r="AJ50" s="8">
        <v>981525.62222222215</v>
      </c>
      <c r="AK50" s="8">
        <v>964710.55555555562</v>
      </c>
      <c r="AL50" s="8">
        <v>947248.75555555569</v>
      </c>
      <c r="AM50" s="8">
        <v>928924.64444444445</v>
      </c>
      <c r="AN50" s="8">
        <v>909953.8</v>
      </c>
      <c r="AO50" s="8">
        <v>890120.64444444445</v>
      </c>
      <c r="AP50" s="8">
        <v>869425.17777777778</v>
      </c>
      <c r="AQ50" s="8">
        <v>847867.4</v>
      </c>
      <c r="AR50" s="8">
        <v>825231.73333333328</v>
      </c>
      <c r="AS50" s="8">
        <v>801733.75555555557</v>
      </c>
      <c r="AT50" s="8">
        <v>777373.46666666667</v>
      </c>
      <c r="AU50" s="8">
        <v>751935.2888888889</v>
      </c>
      <c r="AV50" s="8">
        <v>725419.22222222225</v>
      </c>
      <c r="AW50" s="8">
        <v>698040.8444444444</v>
      </c>
      <c r="AX50" s="8">
        <v>669800.1555555556</v>
      </c>
      <c r="AY50" s="8">
        <v>640481.5777777778</v>
      </c>
      <c r="AZ50" s="8">
        <v>610300.68888888904</v>
      </c>
      <c r="BA50" s="8">
        <v>579257.48888888897</v>
      </c>
      <c r="BB50" s="8">
        <v>547567.55555555562</v>
      </c>
      <c r="BC50" s="8">
        <v>515230.88888888888</v>
      </c>
      <c r="BD50" s="8">
        <v>482247.48888888891</v>
      </c>
      <c r="BE50" s="8">
        <v>449048.51111111121</v>
      </c>
      <c r="BF50" s="8">
        <v>415633.95555555559</v>
      </c>
      <c r="BG50" s="8">
        <v>382003.82222222222</v>
      </c>
      <c r="BH50" s="8">
        <v>348804.84444444446</v>
      </c>
      <c r="BI50" s="8">
        <v>315821.4444444445</v>
      </c>
      <c r="BJ50" s="8">
        <v>283484.77777777781</v>
      </c>
      <c r="BK50" s="8">
        <v>252226.00000000003</v>
      </c>
      <c r="BL50" s="8">
        <v>222045.11111111112</v>
      </c>
      <c r="BM50" s="8">
        <v>193157.68888888892</v>
      </c>
      <c r="BN50" s="8">
        <v>165994.88888888891</v>
      </c>
      <c r="BO50" s="8">
        <v>140772.2888888889</v>
      </c>
      <c r="BP50" s="8">
        <v>117705.46666666669</v>
      </c>
      <c r="BQ50" s="8">
        <v>96794.422222222231</v>
      </c>
      <c r="BR50" s="8">
        <v>78254.733333333337</v>
      </c>
      <c r="BS50" s="8">
        <v>62086.400000000009</v>
      </c>
      <c r="BT50" s="8">
        <v>48073.844444444447</v>
      </c>
      <c r="BU50" s="8">
        <v>36432.644444444442</v>
      </c>
      <c r="BV50" s="8">
        <v>26947.222222222226</v>
      </c>
      <c r="BW50" s="8">
        <v>19402</v>
      </c>
      <c r="BX50" s="8">
        <v>13581.400000000001</v>
      </c>
      <c r="BY50" s="8">
        <v>8838.6888888888898</v>
      </c>
      <c r="BZ50" s="8">
        <v>5605.0222222222228</v>
      </c>
      <c r="CA50" s="8">
        <v>2586.9333333333334</v>
      </c>
      <c r="CB50" s="8">
        <v>1077.8888888888889</v>
      </c>
      <c r="CC50" s="8">
        <v>646.73333333333335</v>
      </c>
      <c r="CD50" s="8">
        <v>215.57777777777781</v>
      </c>
      <c r="CE50" s="8">
        <v>0</v>
      </c>
      <c r="CF50" s="8">
        <v>0</v>
      </c>
    </row>
    <row r="51" spans="3:84">
      <c r="C51" s="8">
        <f t="shared" si="13"/>
        <v>1754</v>
      </c>
      <c r="D51" s="8">
        <v>63761</v>
      </c>
      <c r="E51" s="8">
        <v>668124</v>
      </c>
      <c r="F51" s="8">
        <v>695945.36478428624</v>
      </c>
      <c r="G51" s="8">
        <v>688885.79358119948</v>
      </c>
      <c r="H51" s="8">
        <v>681826.22237811284</v>
      </c>
      <c r="I51" s="8">
        <f t="shared" si="14"/>
        <v>1.0416410199069128</v>
      </c>
      <c r="J51" s="8">
        <f t="shared" si="15"/>
        <v>1.0310747609443749</v>
      </c>
      <c r="K51" s="8">
        <f t="shared" si="16"/>
        <v>1.020508501981837</v>
      </c>
      <c r="L51" s="8">
        <v>34</v>
      </c>
      <c r="M51" s="8">
        <v>0.5645</v>
      </c>
      <c r="N51" s="8">
        <f t="shared" si="11"/>
        <v>0.99000350754121358</v>
      </c>
      <c r="O51" s="8">
        <f t="shared" si="12"/>
        <v>0.99000350754121358</v>
      </c>
      <c r="P51" s="8">
        <v>731885</v>
      </c>
      <c r="Q51" s="8">
        <v>724568.71711680107</v>
      </c>
      <c r="R51" s="8">
        <v>717252.43423360214</v>
      </c>
      <c r="S51" s="8">
        <v>710192.86303051549</v>
      </c>
      <c r="T51" s="8">
        <v>703004.93598737277</v>
      </c>
      <c r="U51" s="8">
        <v>695945.36478428624</v>
      </c>
      <c r="V51" s="8">
        <v>688885.79358119948</v>
      </c>
      <c r="W51" s="8">
        <v>681826.22237811284</v>
      </c>
      <c r="X51" s="8">
        <v>674638.29533497011</v>
      </c>
      <c r="Y51" s="8">
        <v>667450.36829182738</v>
      </c>
      <c r="Z51" s="8">
        <v>660134.08540862845</v>
      </c>
      <c r="AA51" s="8">
        <v>652561.09084531735</v>
      </c>
      <c r="AB51" s="8">
        <v>644988.09628200624</v>
      </c>
      <c r="AC51" s="8">
        <v>637158.39003858285</v>
      </c>
      <c r="AD51" s="8">
        <v>629071.97211504728</v>
      </c>
      <c r="AE51" s="8">
        <v>620728.84251139953</v>
      </c>
      <c r="AF51" s="8">
        <v>612129.00122763938</v>
      </c>
      <c r="AG51" s="8">
        <v>603272.44826376694</v>
      </c>
      <c r="AH51" s="8">
        <v>594030.82777972636</v>
      </c>
      <c r="AI51" s="8">
        <v>584404.1397755174</v>
      </c>
      <c r="AJ51" s="8">
        <v>574392.38425113994</v>
      </c>
      <c r="AK51" s="8">
        <v>563995.56120659423</v>
      </c>
      <c r="AL51" s="8">
        <v>553085.31480182393</v>
      </c>
      <c r="AM51" s="8">
        <v>541790.00087688514</v>
      </c>
      <c r="AN51" s="8">
        <v>529981.26359172224</v>
      </c>
      <c r="AO51" s="8">
        <v>517659.10294633458</v>
      </c>
      <c r="AP51" s="8">
        <v>504823.51894072245</v>
      </c>
      <c r="AQ51" s="8">
        <v>491346.15573482984</v>
      </c>
      <c r="AR51" s="8">
        <v>477355.36916871264</v>
      </c>
      <c r="AS51" s="8">
        <v>462851.15924237104</v>
      </c>
      <c r="AT51" s="8">
        <v>447705.17011574883</v>
      </c>
      <c r="AU51" s="8">
        <v>431917.40178884601</v>
      </c>
      <c r="AV51" s="8">
        <v>415616.21010171867</v>
      </c>
      <c r="AW51" s="8">
        <v>398801.59505436686</v>
      </c>
      <c r="AX51" s="8">
        <v>381345.20080673444</v>
      </c>
      <c r="AY51" s="8">
        <v>363375.38319887756</v>
      </c>
      <c r="AZ51" s="8">
        <v>344892.14223079622</v>
      </c>
      <c r="BA51" s="8">
        <v>326023.83374254644</v>
      </c>
      <c r="BB51" s="8">
        <v>306770.45773412834</v>
      </c>
      <c r="BC51" s="8">
        <v>287132.01420554187</v>
      </c>
      <c r="BD51" s="8">
        <v>267365.21483689937</v>
      </c>
      <c r="BE51" s="8">
        <v>247470.0596282006</v>
      </c>
      <c r="BF51" s="8">
        <v>227446.54857944578</v>
      </c>
      <c r="BG51" s="8">
        <v>207679.74921080322</v>
      </c>
      <c r="BH51" s="8">
        <v>188041.30568221674</v>
      </c>
      <c r="BI51" s="8">
        <v>168787.92967379867</v>
      </c>
      <c r="BJ51" s="8">
        <v>150176.33286566116</v>
      </c>
      <c r="BK51" s="8">
        <v>132206.51525780428</v>
      </c>
      <c r="BL51" s="8">
        <v>115006.83269028409</v>
      </c>
      <c r="BM51" s="8">
        <v>98833.996843212895</v>
      </c>
      <c r="BN51" s="8">
        <v>83816.363556646786</v>
      </c>
      <c r="BO51" s="8">
        <v>70082.288670641879</v>
      </c>
      <c r="BP51" s="8">
        <v>57631.77218519817</v>
      </c>
      <c r="BQ51" s="8">
        <v>46593.169940371794</v>
      </c>
      <c r="BR51" s="8">
        <v>36966.481936162745</v>
      </c>
      <c r="BS51" s="8">
        <v>28623.352332514904</v>
      </c>
      <c r="BT51" s="8">
        <v>21692.136969484385</v>
      </c>
      <c r="BU51" s="8">
        <v>16044.480007015081</v>
      </c>
      <c r="BV51" s="8">
        <v>11552.025605050858</v>
      </c>
      <c r="BW51" s="8">
        <v>8086.4179235356014</v>
      </c>
      <c r="BX51" s="8">
        <v>5262.5894423009468</v>
      </c>
      <c r="BY51" s="8">
        <v>3337.2518414591368</v>
      </c>
      <c r="BZ51" s="8">
        <v>1540.2700806734476</v>
      </c>
      <c r="CA51" s="8">
        <v>641.77920028060328</v>
      </c>
      <c r="CB51" s="8">
        <v>385.06752016836191</v>
      </c>
      <c r="CC51" s="8">
        <v>128.35584005612066</v>
      </c>
    </row>
    <row r="52" spans="3:84">
      <c r="C52" s="8">
        <f t="shared" si="13"/>
        <v>1753</v>
      </c>
      <c r="D52" s="8">
        <v>14641</v>
      </c>
      <c r="E52" s="8">
        <v>723807</v>
      </c>
      <c r="F52" s="8">
        <v>702081.56173604948</v>
      </c>
      <c r="G52" s="8">
        <v>694886.76279893715</v>
      </c>
      <c r="H52" s="8">
        <v>687561.1493356952</v>
      </c>
      <c r="I52" s="8">
        <f t="shared" si="14"/>
        <v>0.96998448721281982</v>
      </c>
      <c r="J52" s="8">
        <f t="shared" si="15"/>
        <v>0.96004426981078816</v>
      </c>
      <c r="K52" s="8">
        <f t="shared" si="16"/>
        <v>0.94992332118326461</v>
      </c>
      <c r="L52" s="8">
        <v>35</v>
      </c>
      <c r="M52" s="8">
        <v>0.55879999999999996</v>
      </c>
      <c r="N52" s="8">
        <f t="shared" si="11"/>
        <v>0.9899025686448184</v>
      </c>
      <c r="O52" s="8">
        <f t="shared" si="12"/>
        <v>0.9899025686448184</v>
      </c>
      <c r="P52" s="8">
        <v>738448</v>
      </c>
      <c r="Q52" s="8">
        <v>730991.57201062888</v>
      </c>
      <c r="R52" s="8">
        <v>723796.77307351644</v>
      </c>
      <c r="S52" s="8">
        <v>716471.15961027448</v>
      </c>
      <c r="T52" s="8">
        <v>709276.36067316215</v>
      </c>
      <c r="U52" s="8">
        <v>702081.56173604948</v>
      </c>
      <c r="V52" s="8">
        <v>694886.76279893715</v>
      </c>
      <c r="W52" s="8">
        <v>687561.1493356952</v>
      </c>
      <c r="X52" s="8">
        <v>680235.53587245359</v>
      </c>
      <c r="Y52" s="8">
        <v>672779.10788308235</v>
      </c>
      <c r="Z52" s="8">
        <v>665061.05084145255</v>
      </c>
      <c r="AA52" s="8">
        <v>657342.99379982275</v>
      </c>
      <c r="AB52" s="8">
        <v>649363.30770593451</v>
      </c>
      <c r="AC52" s="8">
        <v>641121.99255978735</v>
      </c>
      <c r="AD52" s="8">
        <v>632619.04836138175</v>
      </c>
      <c r="AE52" s="8">
        <v>623854.47511071735</v>
      </c>
      <c r="AF52" s="8">
        <v>614828.27280779451</v>
      </c>
      <c r="AG52" s="8">
        <v>605409.62692648359</v>
      </c>
      <c r="AH52" s="8">
        <v>595598.53746678471</v>
      </c>
      <c r="AI52" s="8">
        <v>585395.00442869798</v>
      </c>
      <c r="AJ52" s="8">
        <v>574799.02781222318</v>
      </c>
      <c r="AK52" s="8">
        <v>563679.79309123126</v>
      </c>
      <c r="AL52" s="8">
        <v>552168.11479185114</v>
      </c>
      <c r="AM52" s="8">
        <v>540133.17838795402</v>
      </c>
      <c r="AN52" s="8">
        <v>527574.98387953942</v>
      </c>
      <c r="AO52" s="8">
        <v>514493.53126660752</v>
      </c>
      <c r="AP52" s="8">
        <v>500758.00602302921</v>
      </c>
      <c r="AQ52" s="8">
        <v>486499.22267493355</v>
      </c>
      <c r="AR52" s="8">
        <v>471717.18122232059</v>
      </c>
      <c r="AS52" s="8">
        <v>456281.06713906111</v>
      </c>
      <c r="AT52" s="8">
        <v>440190.88042515499</v>
      </c>
      <c r="AU52" s="8">
        <v>423577.43560673163</v>
      </c>
      <c r="AV52" s="8">
        <v>406440.73268379091</v>
      </c>
      <c r="AW52" s="8">
        <v>388649.95713020366</v>
      </c>
      <c r="AX52" s="8">
        <v>370335.92347209924</v>
      </c>
      <c r="AY52" s="8">
        <v>351498.6317094774</v>
      </c>
      <c r="AZ52" s="8">
        <v>332268.89636846771</v>
      </c>
      <c r="BA52" s="8">
        <v>312646.71744906995</v>
      </c>
      <c r="BB52" s="8">
        <v>292632.09495128435</v>
      </c>
      <c r="BC52" s="8">
        <v>272486.65792736935</v>
      </c>
      <c r="BD52" s="8">
        <v>252210.40637732507</v>
      </c>
      <c r="BE52" s="8">
        <v>231803.34030115147</v>
      </c>
      <c r="BF52" s="8">
        <v>211657.9032772365</v>
      </c>
      <c r="BG52" s="8">
        <v>191643.28077945084</v>
      </c>
      <c r="BH52" s="8">
        <v>172021.10186005317</v>
      </c>
      <c r="BI52" s="8">
        <v>153052.99557130205</v>
      </c>
      <c r="BJ52" s="8">
        <v>134738.96191319753</v>
      </c>
      <c r="BK52" s="8">
        <v>117209.8154118689</v>
      </c>
      <c r="BL52" s="8">
        <v>100727.18511957485</v>
      </c>
      <c r="BM52" s="8">
        <v>85421.885562444644</v>
      </c>
      <c r="BN52" s="8">
        <v>71424.731266607618</v>
      </c>
      <c r="BO52" s="8">
        <v>58735.722232063781</v>
      </c>
      <c r="BP52" s="8">
        <v>47485.672984942423</v>
      </c>
      <c r="BQ52" s="8">
        <v>37674.583525243579</v>
      </c>
      <c r="BR52" s="8">
        <v>29171.639326837911</v>
      </c>
      <c r="BS52" s="8">
        <v>22107.654915854739</v>
      </c>
      <c r="BT52" s="8">
        <v>16351.815766164747</v>
      </c>
      <c r="BU52" s="8">
        <v>11773.307351638618</v>
      </c>
      <c r="BV52" s="8">
        <v>8241.3151461470316</v>
      </c>
      <c r="BW52" s="8">
        <v>5363.3955713020378</v>
      </c>
      <c r="BX52" s="8">
        <v>3401.1776793622676</v>
      </c>
      <c r="BY52" s="8">
        <v>1569.7743135518156</v>
      </c>
      <c r="BZ52" s="8">
        <v>654.07263064658991</v>
      </c>
      <c r="CA52" s="8">
        <v>392.44357838795389</v>
      </c>
      <c r="CB52" s="8">
        <v>130.81452612931798</v>
      </c>
      <c r="CC52" s="8">
        <v>0</v>
      </c>
    </row>
    <row r="53" spans="3:84">
      <c r="C53" s="8">
        <f t="shared" si="13"/>
        <v>1752</v>
      </c>
      <c r="D53" s="8">
        <v>18938</v>
      </c>
      <c r="E53" s="8">
        <v>807241</v>
      </c>
      <c r="F53" s="8">
        <v>785372.73586256278</v>
      </c>
      <c r="G53" s="8">
        <v>777093.20400858985</v>
      </c>
      <c r="H53" s="8">
        <v>768813.67215461715</v>
      </c>
      <c r="I53" s="8">
        <f t="shared" si="14"/>
        <v>0.97290986937304069</v>
      </c>
      <c r="J53" s="8">
        <f t="shared" si="15"/>
        <v>0.96265328942483086</v>
      </c>
      <c r="K53" s="8">
        <f t="shared" si="16"/>
        <v>0.95239670947662114</v>
      </c>
      <c r="L53" s="8">
        <v>36</v>
      </c>
      <c r="M53" s="8">
        <v>0.55330000000000001</v>
      </c>
      <c r="N53" s="8">
        <f t="shared" si="11"/>
        <v>0.99015748031496076</v>
      </c>
      <c r="O53" s="8">
        <f t="shared" si="12"/>
        <v>0.99015748031496076</v>
      </c>
      <c r="P53" s="8">
        <v>826179</v>
      </c>
      <c r="Q53" s="8">
        <v>818047.31692913396</v>
      </c>
      <c r="R53" s="8">
        <v>809767.78507516102</v>
      </c>
      <c r="S53" s="8">
        <v>801636.10200429498</v>
      </c>
      <c r="T53" s="8">
        <v>793504.41893342882</v>
      </c>
      <c r="U53" s="8">
        <v>785372.73586256278</v>
      </c>
      <c r="V53" s="8">
        <v>777093.20400858985</v>
      </c>
      <c r="W53" s="8">
        <v>768813.67215461715</v>
      </c>
      <c r="X53" s="8">
        <v>760386.29151753755</v>
      </c>
      <c r="Y53" s="8">
        <v>751663.21331424476</v>
      </c>
      <c r="Z53" s="8">
        <v>742940.13511095196</v>
      </c>
      <c r="AA53" s="8">
        <v>733921.35934144608</v>
      </c>
      <c r="AB53" s="8">
        <v>724606.88600572653</v>
      </c>
      <c r="AC53" s="8">
        <v>714996.71510379377</v>
      </c>
      <c r="AD53" s="8">
        <v>705090.84663564793</v>
      </c>
      <c r="AE53" s="8">
        <v>694889.28060128854</v>
      </c>
      <c r="AF53" s="8">
        <v>684244.16821760929</v>
      </c>
      <c r="AG53" s="8">
        <v>673155.50948460994</v>
      </c>
      <c r="AH53" s="8">
        <v>661623.30440229061</v>
      </c>
      <c r="AI53" s="8">
        <v>649647.55297065142</v>
      </c>
      <c r="AJ53" s="8">
        <v>637080.40640658559</v>
      </c>
      <c r="AK53" s="8">
        <v>624069.71349319967</v>
      </c>
      <c r="AL53" s="8">
        <v>610467.62544738734</v>
      </c>
      <c r="AM53" s="8">
        <v>596274.14226914814</v>
      </c>
      <c r="AN53" s="8">
        <v>581489.26395848242</v>
      </c>
      <c r="AO53" s="8">
        <v>565965.14173228352</v>
      </c>
      <c r="AP53" s="8">
        <v>549849.62437365798</v>
      </c>
      <c r="AQ53" s="8">
        <v>533142.71188260557</v>
      </c>
      <c r="AR53" s="8">
        <v>515696.55547602009</v>
      </c>
      <c r="AS53" s="8">
        <v>497511.15515390132</v>
      </c>
      <c r="AT53" s="8">
        <v>478734.35969935573</v>
      </c>
      <c r="AU53" s="8">
        <v>459366.16911238368</v>
      </c>
      <c r="AV53" s="8">
        <v>439258.73460987833</v>
      </c>
      <c r="AW53" s="8">
        <v>418559.9049749464</v>
      </c>
      <c r="AX53" s="8">
        <v>397269.68020758772</v>
      </c>
      <c r="AY53" s="8">
        <v>375535.90909090912</v>
      </c>
      <c r="AZ53" s="8">
        <v>353358.59162491054</v>
      </c>
      <c r="BA53" s="8">
        <v>330737.72780959203</v>
      </c>
      <c r="BB53" s="8">
        <v>307969.01521116687</v>
      </c>
      <c r="BC53" s="8">
        <v>285052.45382963493</v>
      </c>
      <c r="BD53" s="8">
        <v>261988.04366499642</v>
      </c>
      <c r="BE53" s="8">
        <v>239219.33106657123</v>
      </c>
      <c r="BF53" s="8">
        <v>216598.46725125267</v>
      </c>
      <c r="BG53" s="8">
        <v>194421.14978525415</v>
      </c>
      <c r="BH53" s="8">
        <v>172983.07623478884</v>
      </c>
      <c r="BI53" s="8">
        <v>152284.24659985682</v>
      </c>
      <c r="BJ53" s="8">
        <v>132472.50966356479</v>
      </c>
      <c r="BK53" s="8">
        <v>113843.56299212598</v>
      </c>
      <c r="BL53" s="8">
        <v>96545.255368647093</v>
      </c>
      <c r="BM53" s="8">
        <v>80725.435576234799</v>
      </c>
      <c r="BN53" s="8">
        <v>66384.103614889056</v>
      </c>
      <c r="BO53" s="8">
        <v>53669.10826771654</v>
      </c>
      <c r="BP53" s="8">
        <v>42580.449534717256</v>
      </c>
      <c r="BQ53" s="8">
        <v>32970.278632784546</v>
      </c>
      <c r="BR53" s="8">
        <v>24986.444345025051</v>
      </c>
      <c r="BS53" s="8">
        <v>18481.097888332144</v>
      </c>
      <c r="BT53" s="8">
        <v>13306.390479599142</v>
      </c>
      <c r="BU53" s="8">
        <v>9314.4733357194</v>
      </c>
      <c r="BV53" s="8">
        <v>6061.8001073729429</v>
      </c>
      <c r="BW53" s="8">
        <v>3844.0683607730853</v>
      </c>
      <c r="BX53" s="8">
        <v>1774.1853972798854</v>
      </c>
      <c r="BY53" s="8">
        <v>739.24391553328564</v>
      </c>
      <c r="BZ53" s="8">
        <v>443.54634931997134</v>
      </c>
      <c r="CA53" s="8">
        <v>147.84878310665715</v>
      </c>
      <c r="CB53" s="8">
        <v>0</v>
      </c>
      <c r="CC53" s="8">
        <v>0</v>
      </c>
    </row>
    <row r="54" spans="3:84">
      <c r="C54" s="8">
        <f t="shared" si="13"/>
        <v>1751</v>
      </c>
      <c r="D54" s="8">
        <v>26836</v>
      </c>
      <c r="E54" s="8">
        <v>809777</v>
      </c>
      <c r="F54" s="8">
        <v>794729.42851979018</v>
      </c>
      <c r="G54" s="8">
        <v>786261.99168624613</v>
      </c>
      <c r="H54" s="8">
        <v>777643.3506235315</v>
      </c>
      <c r="I54" s="8">
        <f t="shared" si="14"/>
        <v>0.98141763537343019</v>
      </c>
      <c r="J54" s="8">
        <f t="shared" si="15"/>
        <v>0.97096113088695546</v>
      </c>
      <c r="K54" s="8">
        <f t="shared" si="16"/>
        <v>0.96031790310607923</v>
      </c>
      <c r="L54" s="8">
        <v>37</v>
      </c>
      <c r="M54" s="8">
        <v>0.54769999999999996</v>
      </c>
      <c r="N54" s="8">
        <f t="shared" si="11"/>
        <v>0.98987890836797388</v>
      </c>
      <c r="O54" s="8">
        <f t="shared" si="12"/>
        <v>0.98987890836797388</v>
      </c>
      <c r="P54" s="8">
        <v>836613</v>
      </c>
      <c r="Q54" s="8">
        <v>828145.56316645571</v>
      </c>
      <c r="R54" s="8">
        <v>819829.330562082</v>
      </c>
      <c r="S54" s="8">
        <v>811513.09795770829</v>
      </c>
      <c r="T54" s="8">
        <v>803196.86535333446</v>
      </c>
      <c r="U54" s="8">
        <v>794729.42851979018</v>
      </c>
      <c r="V54" s="8">
        <v>786261.99168624613</v>
      </c>
      <c r="W54" s="8">
        <v>777643.3506235315</v>
      </c>
      <c r="X54" s="8">
        <v>768722.30110247596</v>
      </c>
      <c r="Y54" s="8">
        <v>759801.25158142054</v>
      </c>
      <c r="Z54" s="8">
        <v>750577.79360202421</v>
      </c>
      <c r="AA54" s="8">
        <v>741051.92716428696</v>
      </c>
      <c r="AB54" s="8">
        <v>731223.65226820891</v>
      </c>
      <c r="AC54" s="8">
        <v>721092.96891378995</v>
      </c>
      <c r="AD54" s="8">
        <v>710659.87710103008</v>
      </c>
      <c r="AE54" s="8">
        <v>699773.17260075908</v>
      </c>
      <c r="AF54" s="8">
        <v>688432.85541297658</v>
      </c>
      <c r="AG54" s="8">
        <v>676638.92553768295</v>
      </c>
      <c r="AH54" s="8">
        <v>664391.38297487795</v>
      </c>
      <c r="AI54" s="8">
        <v>651539.02349539124</v>
      </c>
      <c r="AJ54" s="8">
        <v>638233.05132839317</v>
      </c>
      <c r="AK54" s="8">
        <v>624322.26224471361</v>
      </c>
      <c r="AL54" s="8">
        <v>609806.65624435199</v>
      </c>
      <c r="AM54" s="8">
        <v>594686.23332730879</v>
      </c>
      <c r="AN54" s="8">
        <v>578809.78926441341</v>
      </c>
      <c r="AO54" s="8">
        <v>562328.52828483644</v>
      </c>
      <c r="AP54" s="8">
        <v>545242.45038857753</v>
      </c>
      <c r="AQ54" s="8">
        <v>527400.35134646669</v>
      </c>
      <c r="AR54" s="8">
        <v>508802.23115850351</v>
      </c>
      <c r="AS54" s="8">
        <v>489599.29405385867</v>
      </c>
      <c r="AT54" s="8">
        <v>469791.54003253207</v>
      </c>
      <c r="AU54" s="8">
        <v>449227.76486535324</v>
      </c>
      <c r="AV54" s="8">
        <v>428059.17278149287</v>
      </c>
      <c r="AW54" s="8">
        <v>406285.76378095069</v>
      </c>
      <c r="AX54" s="8">
        <v>384058.74209289713</v>
      </c>
      <c r="AY54" s="8">
        <v>361378.10771733231</v>
      </c>
      <c r="AZ54" s="8">
        <v>338243.86065425631</v>
      </c>
      <c r="BA54" s="8">
        <v>314958.40936200978</v>
      </c>
      <c r="BB54" s="8">
        <v>291521.75384059281</v>
      </c>
      <c r="BC54" s="8">
        <v>267933.89409000543</v>
      </c>
      <c r="BD54" s="8">
        <v>244648.44279775888</v>
      </c>
      <c r="BE54" s="8">
        <v>221514.19573468281</v>
      </c>
      <c r="BF54" s="8">
        <v>198833.56135911803</v>
      </c>
      <c r="BG54" s="8">
        <v>176908.94812940538</v>
      </c>
      <c r="BH54" s="8">
        <v>155740.3560455449</v>
      </c>
      <c r="BI54" s="8">
        <v>135478.98933670702</v>
      </c>
      <c r="BJ54" s="8">
        <v>116427.25646123261</v>
      </c>
      <c r="BK54" s="8">
        <v>98736.361648292062</v>
      </c>
      <c r="BL54" s="8">
        <v>82557.509127055848</v>
      </c>
      <c r="BM54" s="8">
        <v>67890.698897523951</v>
      </c>
      <c r="BN54" s="8">
        <v>54887.135188866792</v>
      </c>
      <c r="BO54" s="8">
        <v>43546.818001084401</v>
      </c>
      <c r="BP54" s="8">
        <v>33718.543105006327</v>
      </c>
      <c r="BQ54" s="8">
        <v>25553.514729802999</v>
      </c>
      <c r="BR54" s="8">
        <v>18900.528646303996</v>
      </c>
      <c r="BS54" s="8">
        <v>13608.380625338876</v>
      </c>
      <c r="BT54" s="8">
        <v>9525.8664377372133</v>
      </c>
      <c r="BU54" s="8">
        <v>6199.3733959877109</v>
      </c>
      <c r="BV54" s="8">
        <v>3931.3099584312308</v>
      </c>
      <c r="BW54" s="8">
        <v>1814.4507500451832</v>
      </c>
      <c r="BX54" s="8">
        <v>756.02114585215975</v>
      </c>
      <c r="BY54" s="8">
        <v>453.6126875112958</v>
      </c>
      <c r="BZ54" s="8">
        <v>151.20422917043194</v>
      </c>
      <c r="CA54" s="8">
        <v>0</v>
      </c>
      <c r="CB54" s="8">
        <v>0</v>
      </c>
      <c r="CC54" s="8">
        <v>0</v>
      </c>
    </row>
    <row r="55" spans="3:84">
      <c r="C55" s="8">
        <f t="shared" si="13"/>
        <v>1750</v>
      </c>
      <c r="D55" s="8">
        <v>27131</v>
      </c>
      <c r="E55" s="8">
        <v>634811</v>
      </c>
      <c r="F55" s="8">
        <v>628464.19572758814</v>
      </c>
      <c r="G55" s="8">
        <v>621575.26127442031</v>
      </c>
      <c r="H55" s="8">
        <v>614444.60982289573</v>
      </c>
      <c r="I55" s="8">
        <f t="shared" si="14"/>
        <v>0.99000205687612242</v>
      </c>
      <c r="J55" s="8">
        <f t="shared" si="15"/>
        <v>0.97915011125267248</v>
      </c>
      <c r="K55" s="8">
        <f t="shared" si="16"/>
        <v>0.96791739560734724</v>
      </c>
      <c r="L55" s="8">
        <v>38</v>
      </c>
      <c r="M55" s="8">
        <v>0.54220000000000002</v>
      </c>
      <c r="N55" s="8">
        <f t="shared" si="11"/>
        <v>0.98995800620777807</v>
      </c>
      <c r="O55" s="8">
        <f t="shared" si="12"/>
        <v>0.98995800620777807</v>
      </c>
      <c r="P55" s="8">
        <v>661942</v>
      </c>
      <c r="Q55" s="8">
        <v>655294.78254518902</v>
      </c>
      <c r="R55" s="8">
        <v>648647.56509037793</v>
      </c>
      <c r="S55" s="8">
        <v>642000.34763556696</v>
      </c>
      <c r="T55" s="8">
        <v>635232.27168157755</v>
      </c>
      <c r="U55" s="8">
        <v>628464.19572758814</v>
      </c>
      <c r="V55" s="8">
        <v>621575.26127442031</v>
      </c>
      <c r="W55" s="8">
        <v>614444.60982289573</v>
      </c>
      <c r="X55" s="8">
        <v>607313.95837137115</v>
      </c>
      <c r="Y55" s="8">
        <v>599941.58992148994</v>
      </c>
      <c r="Z55" s="8">
        <v>592327.50447325176</v>
      </c>
      <c r="AA55" s="8">
        <v>584471.70202665695</v>
      </c>
      <c r="AB55" s="8">
        <v>576374.18258170539</v>
      </c>
      <c r="AC55" s="8">
        <v>568034.94613839698</v>
      </c>
      <c r="AD55" s="8">
        <v>559333.1341975535</v>
      </c>
      <c r="AE55" s="8">
        <v>550268.74675917474</v>
      </c>
      <c r="AF55" s="8">
        <v>540841.78382326092</v>
      </c>
      <c r="AG55" s="8">
        <v>531052.24538981193</v>
      </c>
      <c r="AH55" s="8">
        <v>520779.2729596495</v>
      </c>
      <c r="AI55" s="8">
        <v>510143.72503195185</v>
      </c>
      <c r="AJ55" s="8">
        <v>499024.74310754065</v>
      </c>
      <c r="AK55" s="8">
        <v>487422.32718641596</v>
      </c>
      <c r="AL55" s="8">
        <v>475336.47726857773</v>
      </c>
      <c r="AM55" s="8">
        <v>462646.33485484758</v>
      </c>
      <c r="AN55" s="8">
        <v>449472.75844440388</v>
      </c>
      <c r="AO55" s="8">
        <v>435815.74803724664</v>
      </c>
      <c r="AP55" s="8">
        <v>421554.44513419759</v>
      </c>
      <c r="AQ55" s="8">
        <v>406688.84973525658</v>
      </c>
      <c r="AR55" s="8">
        <v>391339.82033960195</v>
      </c>
      <c r="AS55" s="8">
        <v>375507.35694723384</v>
      </c>
      <c r="AT55" s="8">
        <v>359070.60105897387</v>
      </c>
      <c r="AU55" s="8">
        <v>342150.41117400042</v>
      </c>
      <c r="AV55" s="8">
        <v>324746.7872923133</v>
      </c>
      <c r="AW55" s="8">
        <v>306980.58791309112</v>
      </c>
      <c r="AX55" s="8">
        <v>288851.81303633377</v>
      </c>
      <c r="AY55" s="8">
        <v>270360.4626620413</v>
      </c>
      <c r="AZ55" s="8">
        <v>251748.25378857041</v>
      </c>
      <c r="BA55" s="8">
        <v>233015.18641592114</v>
      </c>
      <c r="BB55" s="8">
        <v>214161.26054409347</v>
      </c>
      <c r="BC55" s="8">
        <v>195549.0516706226</v>
      </c>
      <c r="BD55" s="8">
        <v>177057.70129633011</v>
      </c>
      <c r="BE55" s="8">
        <v>158928.92641957279</v>
      </c>
      <c r="BF55" s="8">
        <v>141404.44403870736</v>
      </c>
      <c r="BG55" s="8">
        <v>124484.2541537338</v>
      </c>
      <c r="BH55" s="8">
        <v>108289.21526383057</v>
      </c>
      <c r="BI55" s="8">
        <v>93061.044367354392</v>
      </c>
      <c r="BJ55" s="8">
        <v>78920.599963483663</v>
      </c>
      <c r="BK55" s="8">
        <v>65988.740551396768</v>
      </c>
      <c r="BL55" s="8">
        <v>54265.466131093672</v>
      </c>
      <c r="BM55" s="8">
        <v>43871.635201752782</v>
      </c>
      <c r="BN55" s="8">
        <v>34807.247763374115</v>
      </c>
      <c r="BO55" s="8">
        <v>26951.44531677926</v>
      </c>
      <c r="BP55" s="8">
        <v>20425.086361146612</v>
      </c>
      <c r="BQ55" s="8">
        <v>15107.312397297792</v>
      </c>
      <c r="BR55" s="8">
        <v>10877.264926054408</v>
      </c>
      <c r="BS55" s="8">
        <v>7614.0854482380864</v>
      </c>
      <c r="BT55" s="8">
        <v>4955.1984663136764</v>
      </c>
      <c r="BU55" s="8">
        <v>3142.3209786379407</v>
      </c>
      <c r="BV55" s="8">
        <v>1450.3019901405878</v>
      </c>
      <c r="BW55" s="8">
        <v>604.2924958919117</v>
      </c>
      <c r="BX55" s="8">
        <v>362.57549753514695</v>
      </c>
      <c r="BY55" s="8">
        <v>120.85849917838235</v>
      </c>
    </row>
    <row r="56" spans="3:84">
      <c r="C56" s="8">
        <f t="shared" si="13"/>
        <v>1749</v>
      </c>
      <c r="D56" s="8">
        <v>18653</v>
      </c>
      <c r="E56" s="8">
        <v>756448</v>
      </c>
      <c r="F56" s="8">
        <v>735216.60697159718</v>
      </c>
      <c r="G56" s="8">
        <v>726782.27296200651</v>
      </c>
      <c r="H56" s="8">
        <v>718347.93895241595</v>
      </c>
      <c r="I56" s="8">
        <f t="shared" si="14"/>
        <v>0.9719327792149588</v>
      </c>
      <c r="J56" s="8">
        <f t="shared" si="15"/>
        <v>0.96078286010671787</v>
      </c>
      <c r="K56" s="8">
        <f t="shared" si="16"/>
        <v>0.94963294099847706</v>
      </c>
      <c r="L56" s="8">
        <v>39</v>
      </c>
      <c r="M56" s="8">
        <v>0.53669999999999995</v>
      </c>
      <c r="N56" s="8">
        <f t="shared" si="11"/>
        <v>0.98985614164514923</v>
      </c>
      <c r="O56" s="8">
        <f t="shared" si="12"/>
        <v>0.98985614164514923</v>
      </c>
      <c r="P56" s="8">
        <v>775101</v>
      </c>
      <c r="Q56" s="8">
        <v>767238.48524529685</v>
      </c>
      <c r="R56" s="8">
        <v>759375.97049059393</v>
      </c>
      <c r="S56" s="8">
        <v>751370.50092216895</v>
      </c>
      <c r="T56" s="8">
        <v>743365.03135374398</v>
      </c>
      <c r="U56" s="8">
        <v>735216.60697159718</v>
      </c>
      <c r="V56" s="8">
        <v>726782.27296200651</v>
      </c>
      <c r="W56" s="8">
        <v>718347.93895241595</v>
      </c>
      <c r="X56" s="8">
        <v>709627.69531538174</v>
      </c>
      <c r="Y56" s="8">
        <v>700621.54205090366</v>
      </c>
      <c r="Z56" s="8">
        <v>691329.47915898182</v>
      </c>
      <c r="AA56" s="8">
        <v>681751.50663961633</v>
      </c>
      <c r="AB56" s="8">
        <v>671887.62449280708</v>
      </c>
      <c r="AC56" s="8">
        <v>661594.87790483213</v>
      </c>
      <c r="AD56" s="8">
        <v>650873.2668756916</v>
      </c>
      <c r="AE56" s="8">
        <v>639722.79140538548</v>
      </c>
      <c r="AF56" s="8">
        <v>628143.45149391377</v>
      </c>
      <c r="AG56" s="8">
        <v>615992.29232755443</v>
      </c>
      <c r="AH56" s="8">
        <v>603412.2687200295</v>
      </c>
      <c r="AI56" s="8">
        <v>590260.42585761705</v>
      </c>
      <c r="AJ56" s="8">
        <v>576536.7637403172</v>
      </c>
      <c r="AK56" s="8">
        <v>562241.28236812982</v>
      </c>
      <c r="AL56" s="8">
        <v>547231.02692733309</v>
      </c>
      <c r="AM56" s="8">
        <v>531648.95223164884</v>
      </c>
      <c r="AN56" s="8">
        <v>515495.05828107701</v>
      </c>
      <c r="AO56" s="8">
        <v>498626.39026189595</v>
      </c>
      <c r="AP56" s="8">
        <v>481042.94817410555</v>
      </c>
      <c r="AQ56" s="8">
        <v>462887.68683142751</v>
      </c>
      <c r="AR56" s="8">
        <v>444160.606233862</v>
      </c>
      <c r="AS56" s="8">
        <v>424718.75156768714</v>
      </c>
      <c r="AT56" s="8">
        <v>404705.07764662488</v>
      </c>
      <c r="AU56" s="8">
        <v>384119.58447067498</v>
      </c>
      <c r="AV56" s="8">
        <v>363105.22685355961</v>
      </c>
      <c r="AW56" s="8">
        <v>341662.00479527848</v>
      </c>
      <c r="AX56" s="8">
        <v>319789.91829583177</v>
      </c>
      <c r="AY56" s="8">
        <v>297774.87698266323</v>
      </c>
      <c r="AZ56" s="8">
        <v>275616.88085577276</v>
      </c>
      <c r="BA56" s="8">
        <v>253315.92991516046</v>
      </c>
      <c r="BB56" s="8">
        <v>231300.88860199187</v>
      </c>
      <c r="BC56" s="8">
        <v>209428.80210254516</v>
      </c>
      <c r="BD56" s="8">
        <v>187985.58004426409</v>
      </c>
      <c r="BE56" s="8">
        <v>167257.13205459242</v>
      </c>
      <c r="BF56" s="8">
        <v>147243.45813353005</v>
      </c>
      <c r="BG56" s="8">
        <v>128087.51309479897</v>
      </c>
      <c r="BH56" s="8">
        <v>110075.20656584286</v>
      </c>
      <c r="BI56" s="8">
        <v>93349.493360383625</v>
      </c>
      <c r="BJ56" s="8">
        <v>78053.328292143124</v>
      </c>
      <c r="BK56" s="8">
        <v>64186.71136112135</v>
      </c>
      <c r="BL56" s="8">
        <v>51892.597381040207</v>
      </c>
      <c r="BM56" s="8">
        <v>41170.986351899672</v>
      </c>
      <c r="BN56" s="8">
        <v>31878.923459977868</v>
      </c>
      <c r="BO56" s="8">
        <v>24159.363518996677</v>
      </c>
      <c r="BP56" s="8">
        <v>17869.351715234232</v>
      </c>
      <c r="BQ56" s="8">
        <v>12865.933234968645</v>
      </c>
      <c r="BR56" s="8">
        <v>9006.1532644780527</v>
      </c>
      <c r="BS56" s="8">
        <v>5861.1473625968283</v>
      </c>
      <c r="BT56" s="8">
        <v>3716.8251567687198</v>
      </c>
      <c r="BU56" s="8">
        <v>1715.4577646624859</v>
      </c>
      <c r="BV56" s="8">
        <v>714.77406860936924</v>
      </c>
      <c r="BW56" s="8">
        <v>428.86444116562149</v>
      </c>
      <c r="BX56" s="8">
        <v>142.95481372187385</v>
      </c>
      <c r="BY56" s="8">
        <v>0</v>
      </c>
    </row>
    <row r="57" spans="3:84">
      <c r="C57" s="8">
        <f t="shared" si="13"/>
        <v>1748</v>
      </c>
      <c r="D57" s="8">
        <v>37069</v>
      </c>
      <c r="E57" s="8">
        <v>703594</v>
      </c>
      <c r="F57" s="8">
        <v>701608.10359604994</v>
      </c>
      <c r="G57" s="8">
        <v>693465.91671324766</v>
      </c>
      <c r="H57" s="8">
        <v>685047.7234954352</v>
      </c>
      <c r="I57" s="8">
        <f t="shared" si="14"/>
        <v>0.99717749667571065</v>
      </c>
      <c r="J57" s="8">
        <f t="shared" si="15"/>
        <v>0.98560521652152755</v>
      </c>
      <c r="K57" s="8">
        <f t="shared" si="16"/>
        <v>0.97364065568415192</v>
      </c>
      <c r="L57" s="8">
        <v>40</v>
      </c>
      <c r="M57" s="8">
        <v>0.53120000000000001</v>
      </c>
      <c r="N57" s="8">
        <f t="shared" si="11"/>
        <v>0.9897521893050123</v>
      </c>
      <c r="O57" s="8">
        <f t="shared" si="12"/>
        <v>0.98975218930501219</v>
      </c>
      <c r="P57" s="8">
        <v>740663</v>
      </c>
      <c r="Q57" s="8">
        <v>733072.82578721829</v>
      </c>
      <c r="R57" s="8">
        <v>725344.64840693132</v>
      </c>
      <c r="S57" s="8">
        <v>717616.47102664434</v>
      </c>
      <c r="T57" s="8">
        <v>709750.29047885223</v>
      </c>
      <c r="U57" s="8">
        <v>701608.10359604994</v>
      </c>
      <c r="V57" s="8">
        <v>693465.91671324766</v>
      </c>
      <c r="W57" s="8">
        <v>685047.7234954352</v>
      </c>
      <c r="X57" s="8">
        <v>676353.52394261234</v>
      </c>
      <c r="Y57" s="8">
        <v>667383.3180547792</v>
      </c>
      <c r="Z57" s="8">
        <v>658137.10583193589</v>
      </c>
      <c r="AA57" s="8">
        <v>648614.8872740824</v>
      </c>
      <c r="AB57" s="8">
        <v>638678.65921371349</v>
      </c>
      <c r="AC57" s="8">
        <v>628328.42165082914</v>
      </c>
      <c r="AD57" s="8">
        <v>617564.17458542949</v>
      </c>
      <c r="AE57" s="8">
        <v>606385.91801751452</v>
      </c>
      <c r="AF57" s="8">
        <v>594655.64877957897</v>
      </c>
      <c r="AG57" s="8">
        <v>582511.370039128</v>
      </c>
      <c r="AH57" s="8">
        <v>569815.07862865669</v>
      </c>
      <c r="AI57" s="8">
        <v>556566.77454816469</v>
      </c>
      <c r="AJ57" s="8">
        <v>542766.45779765234</v>
      </c>
      <c r="AK57" s="8">
        <v>528276.12520961429</v>
      </c>
      <c r="AL57" s="8">
        <v>513233.77995155583</v>
      </c>
      <c r="AM57" s="8">
        <v>497639.4220234768</v>
      </c>
      <c r="AN57" s="8">
        <v>481355.04825787223</v>
      </c>
      <c r="AO57" s="8">
        <v>464380.658654742</v>
      </c>
      <c r="AP57" s="8">
        <v>446854.25638159126</v>
      </c>
      <c r="AQ57" s="8">
        <v>428775.84143842</v>
      </c>
      <c r="AR57" s="8">
        <v>410007.41065772309</v>
      </c>
      <c r="AS57" s="8">
        <v>390686.96720700583</v>
      </c>
      <c r="AT57" s="8">
        <v>370814.51108626794</v>
      </c>
      <c r="AU57" s="8">
        <v>350528.04546301474</v>
      </c>
      <c r="AV57" s="8">
        <v>329827.57033724617</v>
      </c>
      <c r="AW57" s="8">
        <v>308713.08570896223</v>
      </c>
      <c r="AX57" s="8">
        <v>287460.59791317314</v>
      </c>
      <c r="AY57" s="8">
        <v>266070.10694987891</v>
      </c>
      <c r="AZ57" s="8">
        <v>244541.6128190796</v>
      </c>
      <c r="BA57" s="8">
        <v>223289.12502329051</v>
      </c>
      <c r="BB57" s="8">
        <v>202174.64039500654</v>
      </c>
      <c r="BC57" s="8">
        <v>181474.16526923794</v>
      </c>
      <c r="BD57" s="8">
        <v>161463.705980995</v>
      </c>
      <c r="BE57" s="8">
        <v>142143.26253027763</v>
      </c>
      <c r="BF57" s="8">
        <v>123650.83808459104</v>
      </c>
      <c r="BG57" s="8">
        <v>106262.43897894541</v>
      </c>
      <c r="BH57" s="8">
        <v>90116.068380845914</v>
      </c>
      <c r="BI57" s="8">
        <v>75349.729457797657</v>
      </c>
      <c r="BJ57" s="8">
        <v>61963.422209800643</v>
      </c>
      <c r="BK57" s="8">
        <v>50095.149804359979</v>
      </c>
      <c r="BL57" s="8">
        <v>39744.912241475686</v>
      </c>
      <c r="BM57" s="8">
        <v>30774.706353642632</v>
      </c>
      <c r="BN57" s="8">
        <v>23322.535308365939</v>
      </c>
      <c r="BO57" s="8">
        <v>17250.395938140489</v>
      </c>
      <c r="BP57" s="8">
        <v>12420.285075461152</v>
      </c>
      <c r="BQ57" s="8">
        <v>8694.1995528228072</v>
      </c>
      <c r="BR57" s="8">
        <v>5658.1298677100813</v>
      </c>
      <c r="BS57" s="8">
        <v>3588.0823551332219</v>
      </c>
      <c r="BT57" s="8">
        <v>1656.0380100614868</v>
      </c>
      <c r="BU57" s="8">
        <v>690.01583752561965</v>
      </c>
      <c r="BV57" s="8">
        <v>414.00950251537171</v>
      </c>
      <c r="BW57" s="8">
        <v>138.00316750512391</v>
      </c>
      <c r="BX57" s="8">
        <v>0</v>
      </c>
    </row>
    <row r="58" spans="3:84">
      <c r="C58" s="8">
        <f t="shared" si="13"/>
        <v>1747</v>
      </c>
      <c r="D58" s="8">
        <v>241198</v>
      </c>
      <c r="E58" s="8">
        <v>824073</v>
      </c>
      <c r="F58" s="8">
        <v>1007715.8838478916</v>
      </c>
      <c r="G58" s="8">
        <v>995482.91490963858</v>
      </c>
      <c r="H58" s="8">
        <v>982848.86502259027</v>
      </c>
      <c r="I58" s="8">
        <f t="shared" si="14"/>
        <v>1.2228478348979903</v>
      </c>
      <c r="J58" s="8">
        <f t="shared" si="15"/>
        <v>1.2080033139171391</v>
      </c>
      <c r="K58" s="8">
        <f t="shared" si="16"/>
        <v>1.1926720873303582</v>
      </c>
      <c r="L58" s="8">
        <v>41</v>
      </c>
      <c r="M58" s="8">
        <v>0.52559999999999996</v>
      </c>
      <c r="N58" s="8">
        <f t="shared" si="11"/>
        <v>0.98945783132530107</v>
      </c>
      <c r="O58" s="8">
        <f t="shared" si="12"/>
        <v>0.98945783132530107</v>
      </c>
      <c r="P58" s="8">
        <v>1065271</v>
      </c>
      <c r="Q58" s="8">
        <v>1054040.7334337349</v>
      </c>
      <c r="R58" s="8">
        <v>1042810.4668674699</v>
      </c>
      <c r="S58" s="8">
        <v>1031379.6598268071</v>
      </c>
      <c r="T58" s="8">
        <v>1019547.7718373493</v>
      </c>
      <c r="U58" s="8">
        <v>1007715.8838478916</v>
      </c>
      <c r="V58" s="8">
        <v>995482.91490963858</v>
      </c>
      <c r="W58" s="8">
        <v>982848.86502259027</v>
      </c>
      <c r="X58" s="8">
        <v>969813.73418674688</v>
      </c>
      <c r="Y58" s="8">
        <v>956377.52240210841</v>
      </c>
      <c r="Z58" s="8">
        <v>942540.22966867464</v>
      </c>
      <c r="AA58" s="8">
        <v>928101.3155120482</v>
      </c>
      <c r="AB58" s="8">
        <v>913060.77993222885</v>
      </c>
      <c r="AC58" s="8">
        <v>897418.62292921694</v>
      </c>
      <c r="AD58" s="8">
        <v>881174.84450301202</v>
      </c>
      <c r="AE58" s="8">
        <v>864128.90417921694</v>
      </c>
      <c r="AF58" s="8">
        <v>846481.34243222885</v>
      </c>
      <c r="AG58" s="8">
        <v>828031.6187876506</v>
      </c>
      <c r="AH58" s="8">
        <v>808779.73324548197</v>
      </c>
      <c r="AI58" s="8">
        <v>788725.68580572284</v>
      </c>
      <c r="AJ58" s="8">
        <v>767668.93599397584</v>
      </c>
      <c r="AK58" s="8">
        <v>745810.02428463858</v>
      </c>
      <c r="AL58" s="8">
        <v>723148.95067771082</v>
      </c>
      <c r="AM58" s="8">
        <v>699485.17469879519</v>
      </c>
      <c r="AN58" s="8">
        <v>674818.69634789159</v>
      </c>
      <c r="AO58" s="8">
        <v>649350.0560993976</v>
      </c>
      <c r="AP58" s="8">
        <v>623079.25395331322</v>
      </c>
      <c r="AQ58" s="8">
        <v>595805.74943524087</v>
      </c>
      <c r="AR58" s="8">
        <v>567730.08301957836</v>
      </c>
      <c r="AS58" s="8">
        <v>538852.25470632536</v>
      </c>
      <c r="AT58" s="8">
        <v>509372.80496987957</v>
      </c>
      <c r="AU58" s="8">
        <v>479291.73381024098</v>
      </c>
      <c r="AV58" s="8">
        <v>448609.04122740967</v>
      </c>
      <c r="AW58" s="8">
        <v>417725.80817018071</v>
      </c>
      <c r="AX58" s="8">
        <v>386642.03463855421</v>
      </c>
      <c r="AY58" s="8">
        <v>355357.72063253011</v>
      </c>
      <c r="AZ58" s="8">
        <v>324474.4875753012</v>
      </c>
      <c r="BA58" s="8">
        <v>293791.79499246989</v>
      </c>
      <c r="BB58" s="8">
        <v>263710.72383283131</v>
      </c>
      <c r="BC58" s="8">
        <v>234632.35504518074</v>
      </c>
      <c r="BD58" s="8">
        <v>206556.68862951806</v>
      </c>
      <c r="BE58" s="8">
        <v>179684.26506024096</v>
      </c>
      <c r="BF58" s="8">
        <v>154416.16528614456</v>
      </c>
      <c r="BG58" s="8">
        <v>130952.9297816265</v>
      </c>
      <c r="BH58" s="8">
        <v>109495.09902108434</v>
      </c>
      <c r="BI58" s="8">
        <v>90042.673004518074</v>
      </c>
      <c r="BJ58" s="8">
        <v>72796.192206325301</v>
      </c>
      <c r="BK58" s="8">
        <v>57755.656626506017</v>
      </c>
      <c r="BL58" s="8">
        <v>44720.52579066265</v>
      </c>
      <c r="BM58" s="8">
        <v>33891.340173192766</v>
      </c>
      <c r="BN58" s="8">
        <v>25067.559299698798</v>
      </c>
      <c r="BO58" s="8">
        <v>18048.642695783128</v>
      </c>
      <c r="BP58" s="8">
        <v>12634.049887048193</v>
      </c>
      <c r="BQ58" s="8">
        <v>8222.1594503012057</v>
      </c>
      <c r="BR58" s="8">
        <v>5214.0523343373497</v>
      </c>
      <c r="BS58" s="8">
        <v>2406.4856927710844</v>
      </c>
      <c r="BT58" s="8">
        <v>1002.7023719879518</v>
      </c>
      <c r="BU58" s="8">
        <v>601.62142319277109</v>
      </c>
      <c r="BV58" s="8">
        <v>200.54047439759037</v>
      </c>
      <c r="BW58" s="8">
        <v>0</v>
      </c>
      <c r="BX58" s="8">
        <v>0</v>
      </c>
    </row>
    <row r="59" spans="3:84">
      <c r="L59" s="8">
        <v>41</v>
      </c>
      <c r="M59" s="8">
        <v>0.52559999999999996</v>
      </c>
      <c r="N59" s="8">
        <f t="shared" si="11"/>
        <v>0.98945783132530107</v>
      </c>
      <c r="O59" s="8">
        <f t="shared" si="12"/>
        <v>1</v>
      </c>
      <c r="P59" s="8">
        <v>69850.624019312017</v>
      </c>
      <c r="Q59" s="8">
        <f t="shared" ref="Q59:AV59" si="17">P59*Q58/P58</f>
        <v>69114.246958867458</v>
      </c>
      <c r="R59" s="8">
        <f t="shared" si="17"/>
        <v>68377.869898422912</v>
      </c>
      <c r="S59" s="8">
        <f t="shared" si="17"/>
        <v>67628.343247613258</v>
      </c>
      <c r="T59" s="8">
        <f t="shared" si="17"/>
        <v>66852.51741607346</v>
      </c>
      <c r="U59" s="8">
        <f t="shared" si="17"/>
        <v>66076.691584533677</v>
      </c>
      <c r="V59" s="8">
        <f t="shared" si="17"/>
        <v>65274.566572263713</v>
      </c>
      <c r="W59" s="8">
        <f t="shared" si="17"/>
        <v>64446.142379263583</v>
      </c>
      <c r="X59" s="8">
        <f t="shared" si="17"/>
        <v>63591.419005533295</v>
      </c>
      <c r="Y59" s="8">
        <f t="shared" si="17"/>
        <v>62710.396451072847</v>
      </c>
      <c r="Z59" s="8">
        <f t="shared" si="17"/>
        <v>61803.074715882234</v>
      </c>
      <c r="AA59" s="8">
        <f t="shared" si="17"/>
        <v>60856.304209596376</v>
      </c>
      <c r="AB59" s="8">
        <f t="shared" si="17"/>
        <v>59870.084932215272</v>
      </c>
      <c r="AC59" s="8">
        <f t="shared" si="17"/>
        <v>58844.416883738937</v>
      </c>
      <c r="AD59" s="8">
        <f t="shared" si="17"/>
        <v>57779.300064167342</v>
      </c>
      <c r="AE59" s="8">
        <f t="shared" si="17"/>
        <v>56661.584883135438</v>
      </c>
      <c r="AF59" s="8">
        <f t="shared" si="17"/>
        <v>55504.420931008273</v>
      </c>
      <c r="AG59" s="8">
        <f t="shared" si="17"/>
        <v>54294.658617420799</v>
      </c>
      <c r="AH59" s="8">
        <f t="shared" si="17"/>
        <v>53032.297942372999</v>
      </c>
      <c r="AI59" s="8">
        <f t="shared" si="17"/>
        <v>51717.338905864861</v>
      </c>
      <c r="AJ59" s="8">
        <f t="shared" si="17"/>
        <v>50336.631917531326</v>
      </c>
      <c r="AK59" s="8">
        <f t="shared" si="17"/>
        <v>48903.326567737466</v>
      </c>
      <c r="AL59" s="8">
        <f t="shared" si="17"/>
        <v>47417.422856483274</v>
      </c>
      <c r="AM59" s="8">
        <f t="shared" si="17"/>
        <v>45865.771193403678</v>
      </c>
      <c r="AN59" s="8">
        <f t="shared" si="17"/>
        <v>44248.371578498678</v>
      </c>
      <c r="AO59" s="8">
        <f t="shared" si="17"/>
        <v>42578.373602133346</v>
      </c>
      <c r="AP59" s="8">
        <f t="shared" si="17"/>
        <v>40855.77726430769</v>
      </c>
      <c r="AQ59" s="8">
        <f t="shared" si="17"/>
        <v>39067.432974656629</v>
      </c>
      <c r="AR59" s="8">
        <f t="shared" si="17"/>
        <v>37226.490323545251</v>
      </c>
      <c r="AS59" s="8">
        <f t="shared" si="17"/>
        <v>35332.949310973541</v>
      </c>
      <c r="AT59" s="8">
        <f t="shared" si="17"/>
        <v>33399.959527306586</v>
      </c>
      <c r="AU59" s="8">
        <f t="shared" si="17"/>
        <v>31427.520972544386</v>
      </c>
      <c r="AV59" s="8">
        <f t="shared" si="17"/>
        <v>29415.63364668694</v>
      </c>
      <c r="AW59" s="8">
        <f t="shared" ref="AW59:BV59" si="18">AV59*AW58/AV58</f>
        <v>27390.596730464411</v>
      </c>
      <c r="AX59" s="8">
        <f t="shared" si="18"/>
        <v>25352.410223876806</v>
      </c>
      <c r="AY59" s="8">
        <f t="shared" si="18"/>
        <v>23301.074126924119</v>
      </c>
      <c r="AZ59" s="8">
        <f t="shared" si="18"/>
        <v>21276.037210701594</v>
      </c>
      <c r="BA59" s="8">
        <f t="shared" si="18"/>
        <v>19264.149884844152</v>
      </c>
      <c r="BB59" s="8">
        <f t="shared" si="18"/>
        <v>17291.711330081951</v>
      </c>
      <c r="BC59" s="8">
        <f t="shared" si="18"/>
        <v>15385.02072714516</v>
      </c>
      <c r="BD59" s="8">
        <f t="shared" si="18"/>
        <v>13544.078076033771</v>
      </c>
      <c r="BE59" s="8">
        <f t="shared" si="18"/>
        <v>11782.032967112873</v>
      </c>
      <c r="BF59" s="8">
        <f t="shared" si="18"/>
        <v>10125.184581112624</v>
      </c>
      <c r="BG59" s="8">
        <f t="shared" si="18"/>
        <v>8586.6825083981093</v>
      </c>
      <c r="BH59" s="8">
        <f t="shared" si="18"/>
        <v>7179.6763393344081</v>
      </c>
      <c r="BI59" s="8">
        <f t="shared" si="18"/>
        <v>5904.1660739215185</v>
      </c>
      <c r="BJ59" s="8">
        <f t="shared" si="18"/>
        <v>4773.3013025245236</v>
      </c>
      <c r="BK59" s="8">
        <f t="shared" si="18"/>
        <v>3787.0820251434229</v>
      </c>
      <c r="BL59" s="8">
        <f t="shared" si="18"/>
        <v>2932.3586514131366</v>
      </c>
      <c r="BM59" s="8">
        <f t="shared" si="18"/>
        <v>2222.2807716987445</v>
      </c>
      <c r="BN59" s="8">
        <f t="shared" si="18"/>
        <v>1643.6987956351666</v>
      </c>
      <c r="BO59" s="8">
        <f t="shared" si="18"/>
        <v>1183.4631328573196</v>
      </c>
      <c r="BP59" s="8">
        <f t="shared" si="18"/>
        <v>828.42419300012386</v>
      </c>
      <c r="BQ59" s="8">
        <f t="shared" si="18"/>
        <v>539.13320496833467</v>
      </c>
      <c r="BR59" s="8">
        <f t="shared" si="18"/>
        <v>341.88934949211466</v>
      </c>
      <c r="BS59" s="8">
        <f t="shared" si="18"/>
        <v>157.79508438097599</v>
      </c>
      <c r="BT59" s="8">
        <f t="shared" si="18"/>
        <v>65.747951825406659</v>
      </c>
      <c r="BU59" s="8">
        <f t="shared" si="18"/>
        <v>39.448771095243998</v>
      </c>
      <c r="BV59" s="8">
        <f t="shared" si="18"/>
        <v>13.149590365081334</v>
      </c>
    </row>
    <row r="60" spans="3:84">
      <c r="C60" s="8">
        <f t="shared" ref="C60:C102" si="19">1788-L60</f>
        <v>1746</v>
      </c>
      <c r="D60" s="8">
        <v>15260</v>
      </c>
      <c r="E60" s="8">
        <v>970306</v>
      </c>
      <c r="F60" s="8">
        <v>930812.33333333349</v>
      </c>
      <c r="G60" s="8">
        <v>918999.04223744292</v>
      </c>
      <c r="H60" s="8">
        <v>906810.72602739732</v>
      </c>
      <c r="I60" s="8">
        <f t="shared" ref="I60:I102" si="20">F60/E60</f>
        <v>0.959297719825842</v>
      </c>
      <c r="J60" s="8">
        <f t="shared" ref="J60:J102" si="21">G60/E60</f>
        <v>0.94712290992474835</v>
      </c>
      <c r="K60" s="8">
        <f t="shared" ref="K60:K102" si="22">H60/E60</f>
        <v>0.93456159812203299</v>
      </c>
      <c r="L60" s="8">
        <v>42</v>
      </c>
      <c r="M60" s="8">
        <v>0.52</v>
      </c>
      <c r="N60" s="8">
        <f t="shared" si="11"/>
        <v>0.98934550989345516</v>
      </c>
      <c r="O60" s="8">
        <f t="shared" si="12"/>
        <v>0.98934550989345527</v>
      </c>
      <c r="P60" s="8">
        <v>985566</v>
      </c>
      <c r="Q60" s="8">
        <v>975065.29680365301</v>
      </c>
      <c r="R60" s="8">
        <v>964377.08105022833</v>
      </c>
      <c r="S60" s="8">
        <v>953313.84018264839</v>
      </c>
      <c r="T60" s="8">
        <v>942250.59931506845</v>
      </c>
      <c r="U60" s="8">
        <v>930812.33333333349</v>
      </c>
      <c r="V60" s="8">
        <v>918999.04223744292</v>
      </c>
      <c r="W60" s="8">
        <v>906810.72602739732</v>
      </c>
      <c r="X60" s="8">
        <v>894247.38470319647</v>
      </c>
      <c r="Y60" s="8">
        <v>881309.01826484012</v>
      </c>
      <c r="Z60" s="8">
        <v>867808.11415525118</v>
      </c>
      <c r="AA60" s="8">
        <v>853744.6723744293</v>
      </c>
      <c r="AB60" s="8">
        <v>839118.69292237447</v>
      </c>
      <c r="AC60" s="8">
        <v>823930.17579908692</v>
      </c>
      <c r="AD60" s="8">
        <v>807991.60844748863</v>
      </c>
      <c r="AE60" s="8">
        <v>791490.50342465751</v>
      </c>
      <c r="AF60" s="8">
        <v>774239.34817351599</v>
      </c>
      <c r="AG60" s="8">
        <v>756238.14269406395</v>
      </c>
      <c r="AH60" s="8">
        <v>737486.8869863014</v>
      </c>
      <c r="AI60" s="8">
        <v>717798.06849315064</v>
      </c>
      <c r="AJ60" s="8">
        <v>697359.1997716896</v>
      </c>
      <c r="AK60" s="8">
        <v>676170.28082191781</v>
      </c>
      <c r="AL60" s="8">
        <v>654043.79908675805</v>
      </c>
      <c r="AM60" s="8">
        <v>630979.75456621021</v>
      </c>
      <c r="AN60" s="8">
        <v>607165.65981735161</v>
      </c>
      <c r="AO60" s="8">
        <v>582601.51484018262</v>
      </c>
      <c r="AP60" s="8">
        <v>557099.80707762553</v>
      </c>
      <c r="AQ60" s="8">
        <v>530848.04908675805</v>
      </c>
      <c r="AR60" s="8">
        <v>503846.24086757994</v>
      </c>
      <c r="AS60" s="8">
        <v>476281.89497716899</v>
      </c>
      <c r="AT60" s="8">
        <v>448155.01141552516</v>
      </c>
      <c r="AU60" s="8">
        <v>419465.59018264845</v>
      </c>
      <c r="AV60" s="8">
        <v>390588.6563926941</v>
      </c>
      <c r="AW60" s="8">
        <v>361524.21004566213</v>
      </c>
      <c r="AX60" s="8">
        <v>332272.25114155252</v>
      </c>
      <c r="AY60" s="8">
        <v>303395.31735159818</v>
      </c>
      <c r="AZ60" s="8">
        <v>274705.89611872146</v>
      </c>
      <c r="BA60" s="8">
        <v>246579.01255707766</v>
      </c>
      <c r="BB60" s="8">
        <v>219389.69178082194</v>
      </c>
      <c r="BC60" s="8">
        <v>193137.93378995435</v>
      </c>
      <c r="BD60" s="8">
        <v>168011.25114155252</v>
      </c>
      <c r="BE60" s="8">
        <v>144384.6689497717</v>
      </c>
      <c r="BF60" s="8">
        <v>122445.6997716895</v>
      </c>
      <c r="BG60" s="8">
        <v>102381.85616438359</v>
      </c>
      <c r="BH60" s="8">
        <v>84193.138127853905</v>
      </c>
      <c r="BI60" s="8">
        <v>68067.058219178085</v>
      </c>
      <c r="BJ60" s="8">
        <v>54003.61643835617</v>
      </c>
      <c r="BK60" s="8">
        <v>41815.300228310509</v>
      </c>
      <c r="BL60" s="8">
        <v>31689.622146118723</v>
      </c>
      <c r="BM60" s="8">
        <v>23439.069634703199</v>
      </c>
      <c r="BN60" s="8">
        <v>16876.130136986299</v>
      </c>
      <c r="BO60" s="8">
        <v>11813.291095890412</v>
      </c>
      <c r="BP60" s="8">
        <v>7688.01484018265</v>
      </c>
      <c r="BQ60" s="8">
        <v>4875.3264840182646</v>
      </c>
      <c r="BR60" s="8">
        <v>2250.1506849315065</v>
      </c>
      <c r="BS60" s="8">
        <v>937.56278538812796</v>
      </c>
      <c r="BT60" s="8">
        <v>562.53767123287662</v>
      </c>
      <c r="BU60" s="8">
        <v>187.51255707762559</v>
      </c>
      <c r="BV60" s="8">
        <v>0</v>
      </c>
      <c r="BW60" s="8">
        <v>0</v>
      </c>
      <c r="BX60" s="8">
        <v>0</v>
      </c>
    </row>
    <row r="61" spans="3:84">
      <c r="C61" s="8">
        <f t="shared" si="19"/>
        <v>1745</v>
      </c>
      <c r="D61" s="8">
        <v>16224</v>
      </c>
      <c r="E61" s="8">
        <v>834410</v>
      </c>
      <c r="F61" s="8">
        <v>801722.54499999993</v>
      </c>
      <c r="G61" s="8">
        <v>791089.61999999988</v>
      </c>
      <c r="H61" s="8">
        <v>780129.5280769231</v>
      </c>
      <c r="I61" s="8">
        <f t="shared" si="20"/>
        <v>0.9608256672379285</v>
      </c>
      <c r="J61" s="8">
        <f t="shared" si="21"/>
        <v>0.94808262125334053</v>
      </c>
      <c r="K61" s="8">
        <f t="shared" si="22"/>
        <v>0.93494748154615015</v>
      </c>
      <c r="L61" s="8">
        <v>43</v>
      </c>
      <c r="M61" s="8">
        <v>0.51429999999999998</v>
      </c>
      <c r="N61" s="8">
        <f t="shared" si="11"/>
        <v>0.98903846153846153</v>
      </c>
      <c r="O61" s="8">
        <f t="shared" si="12"/>
        <v>0.98903846153846142</v>
      </c>
      <c r="P61" s="8">
        <v>850634</v>
      </c>
      <c r="Q61" s="8">
        <v>841309.74269230769</v>
      </c>
      <c r="R61" s="8">
        <v>831658.31846153841</v>
      </c>
      <c r="S61" s="8">
        <v>822006.89423076913</v>
      </c>
      <c r="T61" s="8">
        <v>812028.30307692313</v>
      </c>
      <c r="U61" s="8">
        <v>801722.54499999993</v>
      </c>
      <c r="V61" s="8">
        <v>791089.61999999988</v>
      </c>
      <c r="W61" s="8">
        <v>780129.5280769231</v>
      </c>
      <c r="X61" s="8">
        <v>768842.26923076913</v>
      </c>
      <c r="Y61" s="8">
        <v>757064.26</v>
      </c>
      <c r="Z61" s="8">
        <v>744795.50038461538</v>
      </c>
      <c r="AA61" s="8">
        <v>732035.99038461538</v>
      </c>
      <c r="AB61" s="8">
        <v>718785.73</v>
      </c>
      <c r="AC61" s="8">
        <v>704881.13576923078</v>
      </c>
      <c r="AD61" s="8">
        <v>690485.79115384608</v>
      </c>
      <c r="AE61" s="8">
        <v>675436.11269230768</v>
      </c>
      <c r="AF61" s="8">
        <v>659732.10038461536</v>
      </c>
      <c r="AG61" s="8">
        <v>643373.75423076912</v>
      </c>
      <c r="AH61" s="8">
        <v>626197.49076923064</v>
      </c>
      <c r="AI61" s="8">
        <v>608366.89346153848</v>
      </c>
      <c r="AJ61" s="8">
        <v>589881.96230769216</v>
      </c>
      <c r="AK61" s="8">
        <v>570579.11384615384</v>
      </c>
      <c r="AL61" s="8">
        <v>550458.34807692305</v>
      </c>
      <c r="AM61" s="8">
        <v>529683.24846153846</v>
      </c>
      <c r="AN61" s="8">
        <v>508253.81499999994</v>
      </c>
      <c r="AO61" s="8">
        <v>486006.46423076914</v>
      </c>
      <c r="AP61" s="8">
        <v>463104.77961538458</v>
      </c>
      <c r="AQ61" s="8">
        <v>439548.76115384611</v>
      </c>
      <c r="AR61" s="8">
        <v>415501.9923076923</v>
      </c>
      <c r="AS61" s="8">
        <v>390964.47307692305</v>
      </c>
      <c r="AT61" s="8">
        <v>365936.20346153848</v>
      </c>
      <c r="AU61" s="8">
        <v>340744.35038461542</v>
      </c>
      <c r="AV61" s="8">
        <v>315388.91384615382</v>
      </c>
      <c r="AW61" s="8">
        <v>289869.89384615381</v>
      </c>
      <c r="AX61" s="8">
        <v>264678.04076923075</v>
      </c>
      <c r="AY61" s="8">
        <v>239649.77115384614</v>
      </c>
      <c r="AZ61" s="8">
        <v>215112.25192307692</v>
      </c>
      <c r="BA61" s="8">
        <v>191392.65</v>
      </c>
      <c r="BB61" s="8">
        <v>168490.96538461538</v>
      </c>
      <c r="BC61" s="8">
        <v>146570.78153846154</v>
      </c>
      <c r="BD61" s="8">
        <v>125959.26538461538</v>
      </c>
      <c r="BE61" s="8">
        <v>106820.00038461537</v>
      </c>
      <c r="BF61" s="8">
        <v>89316.569999999992</v>
      </c>
      <c r="BG61" s="8">
        <v>73448.974230769221</v>
      </c>
      <c r="BH61" s="8">
        <v>59380.796538461531</v>
      </c>
      <c r="BI61" s="8">
        <v>47112.036923076921</v>
      </c>
      <c r="BJ61" s="8">
        <v>36479.111923076925</v>
      </c>
      <c r="BK61" s="8">
        <v>27645.605</v>
      </c>
      <c r="BL61" s="8">
        <v>20447.932692307695</v>
      </c>
      <c r="BM61" s="8">
        <v>14722.511538461536</v>
      </c>
      <c r="BN61" s="8">
        <v>10305.758076923077</v>
      </c>
      <c r="BO61" s="8">
        <v>6706.921923076924</v>
      </c>
      <c r="BP61" s="8">
        <v>4253.17</v>
      </c>
      <c r="BQ61" s="8">
        <v>1963.0015384615383</v>
      </c>
      <c r="BR61" s="8">
        <v>817.91730769230765</v>
      </c>
      <c r="BS61" s="8">
        <v>490.75038461538458</v>
      </c>
      <c r="BT61" s="8">
        <v>163.58346153846153</v>
      </c>
    </row>
    <row r="62" spans="3:84">
      <c r="C62" s="8">
        <f t="shared" si="19"/>
        <v>1744</v>
      </c>
      <c r="D62" s="8">
        <v>55200</v>
      </c>
      <c r="E62" s="8">
        <v>1357870</v>
      </c>
      <c r="F62" s="8">
        <v>1328719.914446821</v>
      </c>
      <c r="G62" s="8">
        <v>1310311.2638537819</v>
      </c>
      <c r="H62" s="8">
        <v>1291353.1013027416</v>
      </c>
      <c r="I62" s="8">
        <f t="shared" si="20"/>
        <v>0.97853249165739065</v>
      </c>
      <c r="J62" s="8">
        <f t="shared" si="21"/>
        <v>0.96497548650001974</v>
      </c>
      <c r="K62" s="8">
        <f t="shared" si="22"/>
        <v>0.95101379462153335</v>
      </c>
      <c r="L62" s="8">
        <v>44</v>
      </c>
      <c r="M62" s="8">
        <v>0.50839999999999996</v>
      </c>
      <c r="N62" s="8">
        <f t="shared" si="11"/>
        <v>0.98852809644176554</v>
      </c>
      <c r="O62" s="8">
        <f t="shared" si="12"/>
        <v>0.98852809644176542</v>
      </c>
      <c r="P62" s="8">
        <v>1413070</v>
      </c>
      <c r="Q62" s="8">
        <v>1396859.3972389656</v>
      </c>
      <c r="R62" s="8">
        <v>1380648.794477931</v>
      </c>
      <c r="S62" s="8">
        <v>1363888.6797588957</v>
      </c>
      <c r="T62" s="8">
        <v>1346579.0530818589</v>
      </c>
      <c r="U62" s="8">
        <v>1328719.914446821</v>
      </c>
      <c r="V62" s="8">
        <v>1310311.2638537819</v>
      </c>
      <c r="W62" s="8">
        <v>1291353.1013027416</v>
      </c>
      <c r="X62" s="8">
        <v>1271570.6708146995</v>
      </c>
      <c r="Y62" s="8">
        <v>1250963.9723896559</v>
      </c>
      <c r="Z62" s="8">
        <v>1229533.0060276105</v>
      </c>
      <c r="AA62" s="8">
        <v>1207277.7717285631</v>
      </c>
      <c r="AB62" s="8">
        <v>1183923.5135135136</v>
      </c>
      <c r="AC62" s="8">
        <v>1159744.9873614621</v>
      </c>
      <c r="AD62" s="8">
        <v>1134467.4372934087</v>
      </c>
      <c r="AE62" s="8">
        <v>1108090.8633093524</v>
      </c>
      <c r="AF62" s="8">
        <v>1080615.2654092943</v>
      </c>
      <c r="AG62" s="8">
        <v>1051765.887614233</v>
      </c>
      <c r="AH62" s="8">
        <v>1021817.4859031694</v>
      </c>
      <c r="AI62" s="8">
        <v>990770.06027610344</v>
      </c>
      <c r="AJ62" s="8">
        <v>958348.85475403466</v>
      </c>
      <c r="AK62" s="8">
        <v>924553.86933696305</v>
      </c>
      <c r="AL62" s="8">
        <v>889659.86000388884</v>
      </c>
      <c r="AM62" s="8">
        <v>853666.82675481238</v>
      </c>
      <c r="AN62" s="8">
        <v>816300.01361073297</v>
      </c>
      <c r="AO62" s="8">
        <v>777834.17655065143</v>
      </c>
      <c r="AP62" s="8">
        <v>738269.31557456742</v>
      </c>
      <c r="AQ62" s="8">
        <v>697880.18666148174</v>
      </c>
      <c r="AR62" s="8">
        <v>656666.78981139406</v>
      </c>
      <c r="AS62" s="8">
        <v>614629.12502430496</v>
      </c>
      <c r="AT62" s="8">
        <v>572316.70425821515</v>
      </c>
      <c r="AU62" s="8">
        <v>529729.52751312463</v>
      </c>
      <c r="AV62" s="8">
        <v>486867.59478903364</v>
      </c>
      <c r="AW62" s="8">
        <v>444555.17402294383</v>
      </c>
      <c r="AX62" s="8">
        <v>402517.50923585455</v>
      </c>
      <c r="AY62" s="8">
        <v>361304.1123857671</v>
      </c>
      <c r="AZ62" s="8">
        <v>321464.49543068249</v>
      </c>
      <c r="BA62" s="8">
        <v>282998.65837060084</v>
      </c>
      <c r="BB62" s="8">
        <v>246181.35718452267</v>
      </c>
      <c r="BC62" s="8">
        <v>211562.10383044917</v>
      </c>
      <c r="BD62" s="8">
        <v>179415.65428738089</v>
      </c>
      <c r="BE62" s="8">
        <v>150016.7645343185</v>
      </c>
      <c r="BF62" s="8">
        <v>123365.43457126191</v>
      </c>
      <c r="BG62" s="8">
        <v>99736.420377211747</v>
      </c>
      <c r="BH62" s="8">
        <v>79129.721952167994</v>
      </c>
      <c r="BI62" s="8">
        <v>61270.583317130084</v>
      </c>
      <c r="BJ62" s="8">
        <v>46433.760451098577</v>
      </c>
      <c r="BK62" s="8">
        <v>34344.497375072919</v>
      </c>
      <c r="BL62" s="8">
        <v>24728.038110052497</v>
      </c>
      <c r="BM62" s="8">
        <v>17309.626677036751</v>
      </c>
      <c r="BN62" s="8">
        <v>11264.995139023917</v>
      </c>
      <c r="BO62" s="8">
        <v>7143.6554540151665</v>
      </c>
      <c r="BP62" s="8">
        <v>3297.0717480069993</v>
      </c>
      <c r="BQ62" s="8">
        <v>1373.7798950029166</v>
      </c>
      <c r="BR62" s="8">
        <v>824.26793700174983</v>
      </c>
      <c r="BS62" s="8">
        <v>274.75597900058335</v>
      </c>
      <c r="BT62" s="8">
        <v>0</v>
      </c>
    </row>
    <row r="63" spans="3:84">
      <c r="C63" s="8">
        <f t="shared" si="19"/>
        <v>1743</v>
      </c>
      <c r="D63" s="8">
        <v>35271</v>
      </c>
      <c r="E63" s="8">
        <v>976634</v>
      </c>
      <c r="F63" s="8">
        <v>949208.28973249416</v>
      </c>
      <c r="G63" s="8">
        <v>935474.7246262785</v>
      </c>
      <c r="H63" s="8">
        <v>921144.04799370572</v>
      </c>
      <c r="I63" s="8">
        <f t="shared" si="20"/>
        <v>0.97191812872836103</v>
      </c>
      <c r="J63" s="8">
        <f t="shared" si="21"/>
        <v>0.95785598763331858</v>
      </c>
      <c r="K63" s="8">
        <f t="shared" si="22"/>
        <v>0.94318244909936144</v>
      </c>
      <c r="L63" s="8">
        <v>45</v>
      </c>
      <c r="M63" s="8">
        <v>0.50249999999999995</v>
      </c>
      <c r="N63" s="8">
        <f t="shared" si="11"/>
        <v>0.98839496459480725</v>
      </c>
      <c r="O63" s="8">
        <f t="shared" si="12"/>
        <v>0.98839496459480725</v>
      </c>
      <c r="P63" s="8">
        <v>1011905</v>
      </c>
      <c r="Q63" s="8">
        <v>1000161.8066483084</v>
      </c>
      <c r="R63" s="8">
        <v>988020.53894571215</v>
      </c>
      <c r="S63" s="8">
        <v>975481.19689221086</v>
      </c>
      <c r="T63" s="8">
        <v>962543.78048780491</v>
      </c>
      <c r="U63" s="8">
        <v>949208.28973249416</v>
      </c>
      <c r="V63" s="8">
        <v>935474.7246262785</v>
      </c>
      <c r="W63" s="8">
        <v>921144.04799370572</v>
      </c>
      <c r="X63" s="8">
        <v>906216.25983477582</v>
      </c>
      <c r="Y63" s="8">
        <v>890691.36014948867</v>
      </c>
      <c r="Z63" s="8">
        <v>874569.34893784439</v>
      </c>
      <c r="AA63" s="8">
        <v>857651.1890243903</v>
      </c>
      <c r="AB63" s="8">
        <v>840135.91758457909</v>
      </c>
      <c r="AC63" s="8">
        <v>821824.49744295829</v>
      </c>
      <c r="AD63" s="8">
        <v>802716.92859952792</v>
      </c>
      <c r="AE63" s="8">
        <v>782813.21105428797</v>
      </c>
      <c r="AF63" s="8">
        <v>761914.3076317861</v>
      </c>
      <c r="AG63" s="8">
        <v>740219.25550747453</v>
      </c>
      <c r="AH63" s="8">
        <v>717728.05468135327</v>
      </c>
      <c r="AI63" s="8">
        <v>694241.66797797009</v>
      </c>
      <c r="AJ63" s="8">
        <v>669760.095397325</v>
      </c>
      <c r="AK63" s="8">
        <v>644482.37411487021</v>
      </c>
      <c r="AL63" s="8">
        <v>618408.50413060584</v>
      </c>
      <c r="AM63" s="8">
        <v>591339.44826907956</v>
      </c>
      <c r="AN63" s="8">
        <v>563474.24370574357</v>
      </c>
      <c r="AO63" s="8">
        <v>534812.89044059801</v>
      </c>
      <c r="AP63" s="8">
        <v>505554.42564909521</v>
      </c>
      <c r="AQ63" s="8">
        <v>475698.84933123522</v>
      </c>
      <c r="AR63" s="8">
        <v>445246.16148701817</v>
      </c>
      <c r="AS63" s="8">
        <v>414594.4364673486</v>
      </c>
      <c r="AT63" s="8">
        <v>383743.67427222658</v>
      </c>
      <c r="AU63" s="8">
        <v>352693.87490165228</v>
      </c>
      <c r="AV63" s="8">
        <v>322042.14988198271</v>
      </c>
      <c r="AW63" s="8">
        <v>291589.46203776554</v>
      </c>
      <c r="AX63" s="8">
        <v>261733.88571990561</v>
      </c>
      <c r="AY63" s="8">
        <v>232873.49527930768</v>
      </c>
      <c r="AZ63" s="8">
        <v>205008.29071597167</v>
      </c>
      <c r="BA63" s="8">
        <v>178337.30920535012</v>
      </c>
      <c r="BB63" s="8">
        <v>153258.62509834775</v>
      </c>
      <c r="BC63" s="8">
        <v>129971.27557041701</v>
      </c>
      <c r="BD63" s="8">
        <v>108674.29779701025</v>
      </c>
      <c r="BE63" s="8">
        <v>89367.691778127468</v>
      </c>
      <c r="BF63" s="8">
        <v>72250.494689221086</v>
      </c>
      <c r="BG63" s="8">
        <v>57322.706530291107</v>
      </c>
      <c r="BH63" s="8">
        <v>44385.290125885134</v>
      </c>
      <c r="BI63" s="8">
        <v>33637.282651455542</v>
      </c>
      <c r="BJ63" s="8">
        <v>24879.646931549963</v>
      </c>
      <c r="BK63" s="8">
        <v>17913.345790715972</v>
      </c>
      <c r="BL63" s="8">
        <v>12539.342053501181</v>
      </c>
      <c r="BM63" s="8">
        <v>8160.5241935483891</v>
      </c>
      <c r="BN63" s="8">
        <v>5174.9665617623923</v>
      </c>
      <c r="BO63" s="8">
        <v>2388.4461054287963</v>
      </c>
      <c r="BP63" s="8">
        <v>995.18587726199848</v>
      </c>
      <c r="BQ63" s="8">
        <v>597.11152635719907</v>
      </c>
      <c r="BR63" s="8">
        <v>199.03717545239971</v>
      </c>
    </row>
    <row r="64" spans="3:84">
      <c r="C64" s="8">
        <f t="shared" si="19"/>
        <v>1742</v>
      </c>
      <c r="D64" s="8">
        <v>21193</v>
      </c>
      <c r="E64" s="8">
        <v>828551</v>
      </c>
      <c r="F64" s="8">
        <v>794785.43283582095</v>
      </c>
      <c r="G64" s="8">
        <v>782609.99641791056</v>
      </c>
      <c r="H64" s="8">
        <v>769927.25014925376</v>
      </c>
      <c r="I64" s="8">
        <f t="shared" si="20"/>
        <v>0.95924744866136291</v>
      </c>
      <c r="J64" s="8">
        <f t="shared" si="21"/>
        <v>0.94455259412867831</v>
      </c>
      <c r="K64" s="8">
        <f t="shared" si="22"/>
        <v>0.92924545399046499</v>
      </c>
      <c r="L64" s="8">
        <v>46</v>
      </c>
      <c r="M64" s="8">
        <v>0.49640000000000001</v>
      </c>
      <c r="N64" s="8">
        <f t="shared" si="11"/>
        <v>0.98786069651741315</v>
      </c>
      <c r="O64" s="8">
        <f t="shared" si="12"/>
        <v>0.98786069651741304</v>
      </c>
      <c r="P64" s="8">
        <v>849744</v>
      </c>
      <c r="Q64" s="8">
        <v>839428.69970149267</v>
      </c>
      <c r="R64" s="8">
        <v>828775.19283582096</v>
      </c>
      <c r="S64" s="8">
        <v>817783.47940298519</v>
      </c>
      <c r="T64" s="8">
        <v>806453.55940298515</v>
      </c>
      <c r="U64" s="8">
        <v>794785.43283582095</v>
      </c>
      <c r="V64" s="8">
        <v>782609.99641791056</v>
      </c>
      <c r="W64" s="8">
        <v>769927.25014925376</v>
      </c>
      <c r="X64" s="8">
        <v>756737.19402985089</v>
      </c>
      <c r="Y64" s="8">
        <v>743039.8280597016</v>
      </c>
      <c r="Z64" s="8">
        <v>728666.04895522387</v>
      </c>
      <c r="AA64" s="8">
        <v>713784.96000000008</v>
      </c>
      <c r="AB64" s="8">
        <v>698227.45791044785</v>
      </c>
      <c r="AC64" s="8">
        <v>681993.54268656729</v>
      </c>
      <c r="AD64" s="8">
        <v>665083.2143283583</v>
      </c>
      <c r="AE64" s="8">
        <v>647327.36955223884</v>
      </c>
      <c r="AF64" s="8">
        <v>628895.11164179118</v>
      </c>
      <c r="AG64" s="8">
        <v>609786.44059701497</v>
      </c>
      <c r="AH64" s="8">
        <v>589832.25313432841</v>
      </c>
      <c r="AI64" s="8">
        <v>569032.5492537315</v>
      </c>
      <c r="AJ64" s="8">
        <v>547556.43223880592</v>
      </c>
      <c r="AK64" s="8">
        <v>525403.90208955226</v>
      </c>
      <c r="AL64" s="8">
        <v>502405.85552238807</v>
      </c>
      <c r="AM64" s="8">
        <v>478731.39582089556</v>
      </c>
      <c r="AN64" s="8">
        <v>454380.52298507467</v>
      </c>
      <c r="AO64" s="8">
        <v>429522.34029850748</v>
      </c>
      <c r="AP64" s="8">
        <v>404156.84776119405</v>
      </c>
      <c r="AQ64" s="8">
        <v>378284.04537313437</v>
      </c>
      <c r="AR64" s="8">
        <v>352242.13970149256</v>
      </c>
      <c r="AS64" s="8">
        <v>326031.13074626867</v>
      </c>
      <c r="AT64" s="8">
        <v>299651.01850746275</v>
      </c>
      <c r="AU64" s="8">
        <v>273609.11283582094</v>
      </c>
      <c r="AV64" s="8">
        <v>247736.31044776121</v>
      </c>
      <c r="AW64" s="8">
        <v>222370.8179104478</v>
      </c>
      <c r="AX64" s="8">
        <v>197850.8417910448</v>
      </c>
      <c r="AY64" s="8">
        <v>174176.38208955227</v>
      </c>
      <c r="AZ64" s="8">
        <v>151516.54208955224</v>
      </c>
      <c r="BA64" s="8">
        <v>130209.52835820898</v>
      </c>
      <c r="BB64" s="8">
        <v>110424.44417910448</v>
      </c>
      <c r="BC64" s="8">
        <v>92330.392835820909</v>
      </c>
      <c r="BD64" s="8">
        <v>75927.37432835823</v>
      </c>
      <c r="BE64" s="8">
        <v>61384.491940298518</v>
      </c>
      <c r="BF64" s="8">
        <v>48701.745671641795</v>
      </c>
      <c r="BG64" s="8">
        <v>37710.032238805972</v>
      </c>
      <c r="BH64" s="8">
        <v>28578.454925373135</v>
      </c>
      <c r="BI64" s="8">
        <v>21137.910447761198</v>
      </c>
      <c r="BJ64" s="8">
        <v>15219.29552238806</v>
      </c>
      <c r="BK64" s="8">
        <v>10653.506865671643</v>
      </c>
      <c r="BL64" s="8">
        <v>6933.2346268656729</v>
      </c>
      <c r="BM64" s="8">
        <v>4396.6853731343281</v>
      </c>
      <c r="BN64" s="8">
        <v>2029.2394029850748</v>
      </c>
      <c r="BO64" s="8">
        <v>845.5164179104479</v>
      </c>
      <c r="BP64" s="8">
        <v>507.30985074626869</v>
      </c>
      <c r="BQ64" s="8">
        <v>169.10328358208957</v>
      </c>
      <c r="BR64" s="8">
        <v>0</v>
      </c>
    </row>
    <row r="65" spans="3:68">
      <c r="C65" s="8">
        <f t="shared" si="19"/>
        <v>1741</v>
      </c>
      <c r="D65" s="8">
        <v>34804</v>
      </c>
      <c r="E65" s="8">
        <v>832766</v>
      </c>
      <c r="F65" s="8">
        <v>808846.4867042707</v>
      </c>
      <c r="G65" s="8">
        <v>795738.55962933111</v>
      </c>
      <c r="H65" s="8">
        <v>782106.3154713941</v>
      </c>
      <c r="I65" s="8">
        <f t="shared" si="20"/>
        <v>0.97127702944677219</v>
      </c>
      <c r="J65" s="8">
        <f t="shared" si="21"/>
        <v>0.95553680100932448</v>
      </c>
      <c r="K65" s="8">
        <f t="shared" si="22"/>
        <v>0.939166963434379</v>
      </c>
      <c r="L65" s="8">
        <v>47</v>
      </c>
      <c r="M65" s="8">
        <v>0.49009999999999998</v>
      </c>
      <c r="N65" s="8">
        <f t="shared" si="11"/>
        <v>0.98730862207896852</v>
      </c>
      <c r="O65" s="8">
        <f t="shared" si="12"/>
        <v>0.98730862207896852</v>
      </c>
      <c r="P65" s="8">
        <v>867570</v>
      </c>
      <c r="Q65" s="8">
        <v>856559.34125705075</v>
      </c>
      <c r="R65" s="8">
        <v>845199.13779210299</v>
      </c>
      <c r="S65" s="8">
        <v>833489.38960515708</v>
      </c>
      <c r="T65" s="8">
        <v>821430.09669621265</v>
      </c>
      <c r="U65" s="8">
        <v>808846.4867042707</v>
      </c>
      <c r="V65" s="8">
        <v>795738.55962933111</v>
      </c>
      <c r="W65" s="8">
        <v>782106.3154713941</v>
      </c>
      <c r="X65" s="8">
        <v>767949.75423045934</v>
      </c>
      <c r="Y65" s="8">
        <v>753094.10354552779</v>
      </c>
      <c r="Z65" s="8">
        <v>737714.1357775986</v>
      </c>
      <c r="AA65" s="8">
        <v>721635.07856567285</v>
      </c>
      <c r="AB65" s="8">
        <v>704856.93190975022</v>
      </c>
      <c r="AC65" s="8">
        <v>687379.69580983068</v>
      </c>
      <c r="AD65" s="8">
        <v>669028.59790491534</v>
      </c>
      <c r="AE65" s="8">
        <v>649978.41055600322</v>
      </c>
      <c r="AF65" s="8">
        <v>630229.1337630942</v>
      </c>
      <c r="AG65" s="8">
        <v>609605.99516518938</v>
      </c>
      <c r="AH65" s="8">
        <v>588108.99476228841</v>
      </c>
      <c r="AI65" s="8">
        <v>565912.90491539077</v>
      </c>
      <c r="AJ65" s="8">
        <v>543017.72562449623</v>
      </c>
      <c r="AK65" s="8">
        <v>519248.68452860595</v>
      </c>
      <c r="AL65" s="8">
        <v>494780.55398871878</v>
      </c>
      <c r="AM65" s="8">
        <v>469613.33400483482</v>
      </c>
      <c r="AN65" s="8">
        <v>443921.79693795327</v>
      </c>
      <c r="AO65" s="8">
        <v>417705.94278807408</v>
      </c>
      <c r="AP65" s="8">
        <v>390965.77155519743</v>
      </c>
      <c r="AQ65" s="8">
        <v>364050.82796132151</v>
      </c>
      <c r="AR65" s="8">
        <v>336961.11200644646</v>
      </c>
      <c r="AS65" s="8">
        <v>309696.62369057216</v>
      </c>
      <c r="AT65" s="8">
        <v>282781.68009669619</v>
      </c>
      <c r="AU65" s="8">
        <v>256041.50886381947</v>
      </c>
      <c r="AV65" s="8">
        <v>229825.65471394037</v>
      </c>
      <c r="AW65" s="8">
        <v>204483.66236905722</v>
      </c>
      <c r="AX65" s="8">
        <v>180015.53182917001</v>
      </c>
      <c r="AY65" s="8">
        <v>156596.035455278</v>
      </c>
      <c r="AZ65" s="8">
        <v>134574.71796937953</v>
      </c>
      <c r="BA65" s="8">
        <v>114126.35173247381</v>
      </c>
      <c r="BB65" s="8">
        <v>95425.709105560032</v>
      </c>
      <c r="BC65" s="8">
        <v>78472.790088638198</v>
      </c>
      <c r="BD65" s="8">
        <v>63442.36704270749</v>
      </c>
      <c r="BE65" s="8">
        <v>50334.439967767925</v>
      </c>
      <c r="BF65" s="8">
        <v>38974.236502820306</v>
      </c>
      <c r="BG65" s="8">
        <v>29536.529008863818</v>
      </c>
      <c r="BH65" s="8">
        <v>21846.545124899276</v>
      </c>
      <c r="BI65" s="8">
        <v>15729.512489927476</v>
      </c>
      <c r="BJ65" s="8">
        <v>11010.658742949234</v>
      </c>
      <c r="BK65" s="8">
        <v>7165.6668009669629</v>
      </c>
      <c r="BL65" s="8">
        <v>4544.0813859790487</v>
      </c>
      <c r="BM65" s="8">
        <v>2097.2683319903299</v>
      </c>
      <c r="BN65" s="8">
        <v>873.86180499597106</v>
      </c>
      <c r="BO65" s="8">
        <v>524.31708299758247</v>
      </c>
      <c r="BP65" s="8">
        <v>174.77236099919421</v>
      </c>
    </row>
    <row r="66" spans="3:68">
      <c r="C66" s="8">
        <f t="shared" si="19"/>
        <v>1740</v>
      </c>
      <c r="D66" s="8">
        <v>45978</v>
      </c>
      <c r="E66" s="8">
        <v>794265</v>
      </c>
      <c r="F66" s="8">
        <v>780580.77514792897</v>
      </c>
      <c r="G66" s="8">
        <v>767208.20750867168</v>
      </c>
      <c r="H66" s="8">
        <v>753321.31034482759</v>
      </c>
      <c r="I66" s="8">
        <f t="shared" si="20"/>
        <v>0.98277121004693513</v>
      </c>
      <c r="J66" s="8">
        <f t="shared" si="21"/>
        <v>0.96593480451571156</v>
      </c>
      <c r="K66" s="8">
        <f t="shared" si="22"/>
        <v>0.94845084492559484</v>
      </c>
      <c r="L66" s="8">
        <v>48</v>
      </c>
      <c r="M66" s="8">
        <v>0.48359999999999997</v>
      </c>
      <c r="N66" s="8">
        <f t="shared" si="11"/>
        <v>0.98673740053050407</v>
      </c>
      <c r="O66" s="8">
        <f t="shared" si="12"/>
        <v>0.98673740053050396</v>
      </c>
      <c r="P66" s="8">
        <v>840243</v>
      </c>
      <c r="Q66" s="8">
        <v>829099.19363395229</v>
      </c>
      <c r="R66" s="8">
        <v>817612.50091817998</v>
      </c>
      <c r="S66" s="8">
        <v>805782.92185268307</v>
      </c>
      <c r="T66" s="8">
        <v>793439.01326259947</v>
      </c>
      <c r="U66" s="8">
        <v>780580.77514792897</v>
      </c>
      <c r="V66" s="8">
        <v>767208.20750867168</v>
      </c>
      <c r="W66" s="8">
        <v>753321.31034482759</v>
      </c>
      <c r="X66" s="8">
        <v>738748.64048153441</v>
      </c>
      <c r="Y66" s="8">
        <v>723661.64109365433</v>
      </c>
      <c r="Z66" s="8">
        <v>707888.86900632526</v>
      </c>
      <c r="AA66" s="8">
        <v>691430.32421954698</v>
      </c>
      <c r="AB66" s="8">
        <v>674286.00673331972</v>
      </c>
      <c r="AC66" s="8">
        <v>656284.47337278107</v>
      </c>
      <c r="AD66" s="8">
        <v>637597.16731279332</v>
      </c>
      <c r="AE66" s="8">
        <v>618224.08855335647</v>
      </c>
      <c r="AF66" s="8">
        <v>597993.79391960823</v>
      </c>
      <c r="AG66" s="8">
        <v>576906.28341154871</v>
      </c>
      <c r="AH66" s="8">
        <v>555133.00020403997</v>
      </c>
      <c r="AI66" s="8">
        <v>532673.94429708226</v>
      </c>
      <c r="AJ66" s="8">
        <v>509357.67251581309</v>
      </c>
      <c r="AK66" s="8">
        <v>485355.62803509494</v>
      </c>
      <c r="AL66" s="8">
        <v>460667.81085492758</v>
      </c>
      <c r="AM66" s="8">
        <v>435465.66415017348</v>
      </c>
      <c r="AN66" s="8">
        <v>409749.18792083248</v>
      </c>
      <c r="AO66" s="8">
        <v>383518.38216690475</v>
      </c>
      <c r="AP66" s="8">
        <v>357116.13323811471</v>
      </c>
      <c r="AQ66" s="8">
        <v>330542.44113446237</v>
      </c>
      <c r="AR66" s="8">
        <v>303797.30585594778</v>
      </c>
      <c r="AS66" s="8">
        <v>277395.05692715774</v>
      </c>
      <c r="AT66" s="8">
        <v>251164.25117322995</v>
      </c>
      <c r="AU66" s="8">
        <v>225447.77494388903</v>
      </c>
      <c r="AV66" s="8">
        <v>200588.51458885946</v>
      </c>
      <c r="AW66" s="8">
        <v>176586.47010814119</v>
      </c>
      <c r="AX66" s="8">
        <v>153613.08467659663</v>
      </c>
      <c r="AY66" s="8">
        <v>132011.24464395022</v>
      </c>
      <c r="AZ66" s="8">
        <v>111952.39318506427</v>
      </c>
      <c r="BA66" s="8">
        <v>93607.973474801067</v>
      </c>
      <c r="BB66" s="8">
        <v>76977.985513160587</v>
      </c>
      <c r="BC66" s="8">
        <v>62233.872475005104</v>
      </c>
      <c r="BD66" s="8">
        <v>49375.634360334625</v>
      </c>
      <c r="BE66" s="8">
        <v>38231.827994286883</v>
      </c>
      <c r="BF66" s="8">
        <v>28973.896551724138</v>
      </c>
      <c r="BG66" s="8">
        <v>21430.396857784126</v>
      </c>
      <c r="BH66" s="8">
        <v>15429.885737604569</v>
      </c>
      <c r="BI66" s="8">
        <v>10800.9200163232</v>
      </c>
      <c r="BJ66" s="8">
        <v>7029.1701693531941</v>
      </c>
      <c r="BK66" s="8">
        <v>4457.5225464190989</v>
      </c>
      <c r="BL66" s="8">
        <v>2057.3180983472757</v>
      </c>
      <c r="BM66" s="8">
        <v>857.21587431136516</v>
      </c>
      <c r="BN66" s="8">
        <v>514.32952458681893</v>
      </c>
      <c r="BO66" s="8">
        <v>171.44317486227303</v>
      </c>
      <c r="BP66" s="8">
        <v>0</v>
      </c>
    </row>
    <row r="67" spans="3:68">
      <c r="C67" s="8">
        <f t="shared" si="19"/>
        <v>1739</v>
      </c>
      <c r="D67" s="8">
        <v>37760</v>
      </c>
      <c r="E67" s="8">
        <v>697096</v>
      </c>
      <c r="F67" s="8">
        <v>680000.12406947894</v>
      </c>
      <c r="G67" s="8">
        <v>667691.74193548388</v>
      </c>
      <c r="H67" s="8">
        <v>654775.53846153861</v>
      </c>
      <c r="I67" s="8">
        <f t="shared" si="20"/>
        <v>0.97547557878610547</v>
      </c>
      <c r="J67" s="8">
        <f t="shared" si="21"/>
        <v>0.95781892585165296</v>
      </c>
      <c r="K67" s="8">
        <f t="shared" si="22"/>
        <v>0.93929033943895623</v>
      </c>
      <c r="L67" s="8">
        <v>49</v>
      </c>
      <c r="M67" s="8">
        <v>0.47689999999999999</v>
      </c>
      <c r="N67" s="8">
        <f t="shared" si="11"/>
        <v>0.98614557485525234</v>
      </c>
      <c r="O67" s="8">
        <f t="shared" si="12"/>
        <v>0.98614557485525234</v>
      </c>
      <c r="P67" s="8">
        <v>734856</v>
      </c>
      <c r="Q67" s="8">
        <v>724674.99255583133</v>
      </c>
      <c r="R67" s="8">
        <v>714190.07444168744</v>
      </c>
      <c r="S67" s="8">
        <v>703249.29032258072</v>
      </c>
      <c r="T67" s="8">
        <v>691852.64019851119</v>
      </c>
      <c r="U67" s="8">
        <v>680000.12406947894</v>
      </c>
      <c r="V67" s="8">
        <v>667691.74193548388</v>
      </c>
      <c r="W67" s="8">
        <v>654775.53846153861</v>
      </c>
      <c r="X67" s="8">
        <v>641403.46898263029</v>
      </c>
      <c r="Y67" s="8">
        <v>627423.57816377166</v>
      </c>
      <c r="Z67" s="8">
        <v>612835.86600496282</v>
      </c>
      <c r="AA67" s="8">
        <v>597640.33250620344</v>
      </c>
      <c r="AB67" s="8">
        <v>581685.02233250614</v>
      </c>
      <c r="AC67" s="8">
        <v>565121.89081885864</v>
      </c>
      <c r="AD67" s="8">
        <v>547950.93796526059</v>
      </c>
      <c r="AE67" s="8">
        <v>530020.20843672461</v>
      </c>
      <c r="AF67" s="8">
        <v>511329.70223325072</v>
      </c>
      <c r="AG67" s="8">
        <v>492031.37468982628</v>
      </c>
      <c r="AH67" s="8">
        <v>472125.22580645158</v>
      </c>
      <c r="AI67" s="8">
        <v>451459.30024813896</v>
      </c>
      <c r="AJ67" s="8">
        <v>430185.55334987596</v>
      </c>
      <c r="AK67" s="8">
        <v>408303.98511166259</v>
      </c>
      <c r="AL67" s="8">
        <v>385966.55086848635</v>
      </c>
      <c r="AM67" s="8">
        <v>363173.25062034745</v>
      </c>
      <c r="AN67" s="8">
        <v>339924.08436724573</v>
      </c>
      <c r="AO67" s="8">
        <v>316522.96277915634</v>
      </c>
      <c r="AP67" s="8">
        <v>292969.88585607946</v>
      </c>
      <c r="AQ67" s="8">
        <v>269264.85359801492</v>
      </c>
      <c r="AR67" s="8">
        <v>245863.73200992559</v>
      </c>
      <c r="AS67" s="8">
        <v>222614.56575682381</v>
      </c>
      <c r="AT67" s="8">
        <v>199821.26550868488</v>
      </c>
      <c r="AU67" s="8">
        <v>177787.74193548388</v>
      </c>
      <c r="AV67" s="8">
        <v>156513.99503722083</v>
      </c>
      <c r="AW67" s="8">
        <v>136151.98014888336</v>
      </c>
      <c r="AX67" s="8">
        <v>117005.60794044664</v>
      </c>
      <c r="AY67" s="8">
        <v>99226.833746898265</v>
      </c>
      <c r="AZ67" s="8">
        <v>82967.612903225818</v>
      </c>
      <c r="BA67" s="8">
        <v>68227.945409429289</v>
      </c>
      <c r="BB67" s="8">
        <v>55159.786600496278</v>
      </c>
      <c r="BC67" s="8">
        <v>43763.1364764268</v>
      </c>
      <c r="BD67" s="8">
        <v>33886.039702233255</v>
      </c>
      <c r="BE67" s="8">
        <v>25680.451612903224</v>
      </c>
      <c r="BF67" s="8">
        <v>18994.416873449132</v>
      </c>
      <c r="BG67" s="8">
        <v>13675.980148883375</v>
      </c>
      <c r="BH67" s="8">
        <v>9573.1861042183627</v>
      </c>
      <c r="BI67" s="8">
        <v>6230.1687344913162</v>
      </c>
      <c r="BJ67" s="8">
        <v>3950.838709677419</v>
      </c>
      <c r="BK67" s="8">
        <v>1823.4640198511165</v>
      </c>
      <c r="BL67" s="8">
        <v>759.77667493796525</v>
      </c>
      <c r="BM67" s="8">
        <v>455.86600496277913</v>
      </c>
      <c r="BN67" s="8">
        <v>151.95533498759306</v>
      </c>
      <c r="BO67" s="8">
        <v>0</v>
      </c>
      <c r="BP67" s="8">
        <v>0</v>
      </c>
    </row>
    <row r="68" spans="3:68">
      <c r="C68" s="8">
        <f t="shared" si="19"/>
        <v>1738</v>
      </c>
      <c r="D68" s="8">
        <v>69039</v>
      </c>
      <c r="E68" s="8">
        <v>794290</v>
      </c>
      <c r="F68" s="8">
        <v>795442.99140280986</v>
      </c>
      <c r="G68" s="8">
        <v>780055.49612078012</v>
      </c>
      <c r="H68" s="8">
        <v>764124.9127699727</v>
      </c>
      <c r="I68" s="8">
        <f t="shared" si="20"/>
        <v>1.0014516000488611</v>
      </c>
      <c r="J68" s="8">
        <f t="shared" si="21"/>
        <v>0.98207895871883077</v>
      </c>
      <c r="K68" s="8">
        <f t="shared" si="22"/>
        <v>0.96202257710656403</v>
      </c>
      <c r="L68" s="8">
        <v>50</v>
      </c>
      <c r="M68" s="8">
        <v>0.47</v>
      </c>
      <c r="N68" s="8">
        <f t="shared" si="11"/>
        <v>0.98553155797861192</v>
      </c>
      <c r="O68" s="8">
        <f t="shared" si="12"/>
        <v>0.98553155797861181</v>
      </c>
      <c r="P68" s="8">
        <v>863329</v>
      </c>
      <c r="Q68" s="8">
        <v>850837.97441811708</v>
      </c>
      <c r="R68" s="8">
        <v>837803.86076745647</v>
      </c>
      <c r="S68" s="8">
        <v>824226.65904801851</v>
      </c>
      <c r="T68" s="8">
        <v>810106.36925980286</v>
      </c>
      <c r="U68" s="8">
        <v>795442.99140280986</v>
      </c>
      <c r="V68" s="8">
        <v>780055.49612078012</v>
      </c>
      <c r="W68" s="8">
        <v>764124.9127699727</v>
      </c>
      <c r="X68" s="8">
        <v>747470.21199412877</v>
      </c>
      <c r="Y68" s="8">
        <v>730091.39379324811</v>
      </c>
      <c r="Z68" s="8">
        <v>711988.45816733059</v>
      </c>
      <c r="AA68" s="8">
        <v>692980.37576011731</v>
      </c>
      <c r="AB68" s="8">
        <v>673248.17592786753</v>
      </c>
      <c r="AC68" s="8">
        <v>652791.85867058078</v>
      </c>
      <c r="AD68" s="8">
        <v>631430.39463199826</v>
      </c>
      <c r="AE68" s="8">
        <v>609163.78381211997</v>
      </c>
      <c r="AF68" s="8">
        <v>586173.05556720484</v>
      </c>
      <c r="AG68" s="8">
        <v>562458.20989725308</v>
      </c>
      <c r="AH68" s="8">
        <v>537838.21744600544</v>
      </c>
      <c r="AI68" s="8">
        <v>512494.10756972118</v>
      </c>
      <c r="AJ68" s="8">
        <v>486425.88026840007</v>
      </c>
      <c r="AK68" s="8">
        <v>459814.5648983015</v>
      </c>
      <c r="AL68" s="8">
        <v>432660.16145942546</v>
      </c>
      <c r="AM68" s="8">
        <v>404962.66995177185</v>
      </c>
      <c r="AN68" s="8">
        <v>377084.14908785908</v>
      </c>
      <c r="AO68" s="8">
        <v>349024.59886768711</v>
      </c>
      <c r="AP68" s="8">
        <v>320784.01929125603</v>
      </c>
      <c r="AQ68" s="8">
        <v>292905.49842734326</v>
      </c>
      <c r="AR68" s="8">
        <v>265208.00691968965</v>
      </c>
      <c r="AS68" s="8">
        <v>238053.60348081359</v>
      </c>
      <c r="AT68" s="8">
        <v>211804.34682323338</v>
      </c>
      <c r="AU68" s="8">
        <v>186460.23694694904</v>
      </c>
      <c r="AV68" s="8">
        <v>162202.30320821976</v>
      </c>
      <c r="AW68" s="8">
        <v>139392.60431956386</v>
      </c>
      <c r="AX68" s="8">
        <v>118212.16963724051</v>
      </c>
      <c r="AY68" s="8">
        <v>98842.028517508923</v>
      </c>
      <c r="AZ68" s="8">
        <v>81282.180960369049</v>
      </c>
      <c r="BA68" s="8">
        <v>65713.656322080104</v>
      </c>
      <c r="BB68" s="8">
        <v>52136.454602642065</v>
      </c>
      <c r="BC68" s="8">
        <v>40369.546445795771</v>
      </c>
      <c r="BD68" s="8">
        <v>30593.961207800374</v>
      </c>
      <c r="BE68" s="8">
        <v>22628.669532396732</v>
      </c>
      <c r="BF68" s="8">
        <v>16292.642063325644</v>
      </c>
      <c r="BG68" s="8">
        <v>11404.849444327952</v>
      </c>
      <c r="BH68" s="8">
        <v>7422.2036066261271</v>
      </c>
      <c r="BI68" s="8">
        <v>4706.7632627385201</v>
      </c>
      <c r="BJ68" s="8">
        <v>2172.3522751100859</v>
      </c>
      <c r="BK68" s="8">
        <v>905.14678129586923</v>
      </c>
      <c r="BL68" s="8">
        <v>543.08806877752147</v>
      </c>
      <c r="BM68" s="8">
        <v>181.02935625917385</v>
      </c>
      <c r="BN68" s="8">
        <v>0</v>
      </c>
      <c r="BO68" s="8">
        <v>0</v>
      </c>
      <c r="BP68" s="8">
        <v>0</v>
      </c>
    </row>
    <row r="69" spans="3:68">
      <c r="C69" s="8">
        <f t="shared" si="19"/>
        <v>1737</v>
      </c>
      <c r="D69" s="8">
        <v>58800</v>
      </c>
      <c r="E69" s="8">
        <v>942167</v>
      </c>
      <c r="F69" s="8">
        <v>917695.06446808518</v>
      </c>
      <c r="G69" s="8">
        <v>898953.55468085106</v>
      </c>
      <c r="H69" s="8">
        <v>879360.15808510641</v>
      </c>
      <c r="I69" s="8">
        <f t="shared" si="20"/>
        <v>0.97402590460935823</v>
      </c>
      <c r="J69" s="8">
        <f t="shared" si="21"/>
        <v>0.9541339854620795</v>
      </c>
      <c r="K69" s="8">
        <f t="shared" si="22"/>
        <v>0.93333788817174279</v>
      </c>
      <c r="L69" s="8">
        <v>51</v>
      </c>
      <c r="M69" s="8">
        <v>0.46279999999999999</v>
      </c>
      <c r="N69" s="8">
        <f t="shared" si="11"/>
        <v>0.98468085106382985</v>
      </c>
      <c r="O69" s="8">
        <f t="shared" si="12"/>
        <v>0.98468085106382985</v>
      </c>
      <c r="P69" s="8">
        <v>1000967</v>
      </c>
      <c r="Q69" s="8">
        <v>985633.03744680854</v>
      </c>
      <c r="R69" s="8">
        <v>969660.15978723404</v>
      </c>
      <c r="S69" s="8">
        <v>953048.36702127662</v>
      </c>
      <c r="T69" s="8">
        <v>935797.65914893628</v>
      </c>
      <c r="U69" s="8">
        <v>917695.06446808518</v>
      </c>
      <c r="V69" s="8">
        <v>898953.55468085106</v>
      </c>
      <c r="W69" s="8">
        <v>879360.15808510641</v>
      </c>
      <c r="X69" s="8">
        <v>858914.87468085112</v>
      </c>
      <c r="Y69" s="8">
        <v>837617.7044680852</v>
      </c>
      <c r="Z69" s="8">
        <v>815255.67574468092</v>
      </c>
      <c r="AA69" s="8">
        <v>792041.76021276601</v>
      </c>
      <c r="AB69" s="8">
        <v>767975.95787234046</v>
      </c>
      <c r="AC69" s="8">
        <v>742845.29702127667</v>
      </c>
      <c r="AD69" s="8">
        <v>716649.77765957464</v>
      </c>
      <c r="AE69" s="8">
        <v>689602.37148936163</v>
      </c>
      <c r="AF69" s="8">
        <v>661703.07851063833</v>
      </c>
      <c r="AG69" s="8">
        <v>632738.92702127656</v>
      </c>
      <c r="AH69" s="8">
        <v>602922.88872340438</v>
      </c>
      <c r="AI69" s="8">
        <v>572254.96361702122</v>
      </c>
      <c r="AJ69" s="8">
        <v>540948.12340425537</v>
      </c>
      <c r="AK69" s="8">
        <v>509002.36808510637</v>
      </c>
      <c r="AL69" s="8">
        <v>476417.69765957457</v>
      </c>
      <c r="AM69" s="8">
        <v>443620.05553191493</v>
      </c>
      <c r="AN69" s="8">
        <v>410609.44170212769</v>
      </c>
      <c r="AO69" s="8">
        <v>377385.85617021279</v>
      </c>
      <c r="AP69" s="8">
        <v>344588.21404255321</v>
      </c>
      <c r="AQ69" s="8">
        <v>312003.54361702129</v>
      </c>
      <c r="AR69" s="8">
        <v>280057.78829787235</v>
      </c>
      <c r="AS69" s="8">
        <v>249176.89148936173</v>
      </c>
      <c r="AT69" s="8">
        <v>219360.85319148935</v>
      </c>
      <c r="AU69" s="8">
        <v>190822.64510638299</v>
      </c>
      <c r="AV69" s="8">
        <v>163988.2106382979</v>
      </c>
      <c r="AW69" s="8">
        <v>139070.52148936171</v>
      </c>
      <c r="AX69" s="8">
        <v>116282.54936170214</v>
      </c>
      <c r="AY69" s="8">
        <v>95624.294255319168</v>
      </c>
      <c r="AZ69" s="8">
        <v>77308.727872340416</v>
      </c>
      <c r="BA69" s="8">
        <v>61335.850212765959</v>
      </c>
      <c r="BB69" s="8">
        <v>47492.689574468088</v>
      </c>
      <c r="BC69" s="8">
        <v>35992.21765957446</v>
      </c>
      <c r="BD69" s="8">
        <v>26621.462765957451</v>
      </c>
      <c r="BE69" s="8">
        <v>19167.453191489363</v>
      </c>
      <c r="BF69" s="8">
        <v>13417.217234042553</v>
      </c>
      <c r="BG69" s="8">
        <v>8731.8397872340447</v>
      </c>
      <c r="BH69" s="8">
        <v>5537.264255319149</v>
      </c>
      <c r="BI69" s="8">
        <v>2555.6604255319148</v>
      </c>
      <c r="BJ69" s="8">
        <v>1064.858510638298</v>
      </c>
      <c r="BK69" s="8">
        <v>638.91510638297871</v>
      </c>
      <c r="BL69" s="8">
        <v>212.9717021276596</v>
      </c>
    </row>
    <row r="70" spans="3:68">
      <c r="C70" s="8">
        <f t="shared" si="19"/>
        <v>1736</v>
      </c>
      <c r="D70" s="8">
        <v>53161</v>
      </c>
      <c r="E70" s="8">
        <v>1115989</v>
      </c>
      <c r="F70" s="8">
        <v>1066331.493085566</v>
      </c>
      <c r="G70" s="8">
        <v>1043089.96326707</v>
      </c>
      <c r="H70" s="8">
        <v>1018837.9321521176</v>
      </c>
      <c r="I70" s="8">
        <f t="shared" si="20"/>
        <v>0.95550358747762387</v>
      </c>
      <c r="J70" s="8">
        <f t="shared" si="21"/>
        <v>0.93467763863897402</v>
      </c>
      <c r="K70" s="8">
        <f t="shared" si="22"/>
        <v>0.91294621376386109</v>
      </c>
      <c r="L70" s="8">
        <v>52</v>
      </c>
      <c r="M70" s="8">
        <v>0.45529999999999998</v>
      </c>
      <c r="N70" s="8">
        <f t="shared" ref="N70:N101" si="23">Q70/P70</f>
        <v>0.98379429559204834</v>
      </c>
      <c r="O70" s="8">
        <f t="shared" ref="O70:O101" si="24">M70/M69</f>
        <v>0.98379429559204834</v>
      </c>
      <c r="P70" s="8">
        <v>1169150</v>
      </c>
      <c r="Q70" s="8">
        <v>1150203.1006914433</v>
      </c>
      <c r="R70" s="8">
        <v>1130498.3254105446</v>
      </c>
      <c r="S70" s="8">
        <v>1110035.6741573035</v>
      </c>
      <c r="T70" s="8">
        <v>1088562.521607606</v>
      </c>
      <c r="U70" s="8">
        <v>1066331.493085566</v>
      </c>
      <c r="V70" s="8">
        <v>1043089.96326707</v>
      </c>
      <c r="W70" s="8">
        <v>1018837.9321521176</v>
      </c>
      <c r="X70" s="8">
        <v>993575.39974070876</v>
      </c>
      <c r="Y70" s="8">
        <v>967049.74070872949</v>
      </c>
      <c r="Z70" s="8">
        <v>939513.58038029389</v>
      </c>
      <c r="AA70" s="8">
        <v>910966.91875540186</v>
      </c>
      <c r="AB70" s="8">
        <v>881157.13050993951</v>
      </c>
      <c r="AC70" s="8">
        <v>850084.21564390673</v>
      </c>
      <c r="AD70" s="8">
        <v>818000.7994814174</v>
      </c>
      <c r="AE70" s="8">
        <v>784906.88202247187</v>
      </c>
      <c r="AF70" s="8">
        <v>750549.8379429559</v>
      </c>
      <c r="AG70" s="8">
        <v>715182.29256698373</v>
      </c>
      <c r="AH70" s="8">
        <v>678804.24589455489</v>
      </c>
      <c r="AI70" s="8">
        <v>641668.32324978383</v>
      </c>
      <c r="AJ70" s="8">
        <v>603774.52463267068</v>
      </c>
      <c r="AK70" s="8">
        <v>565122.85004321521</v>
      </c>
      <c r="AL70" s="8">
        <v>526218.55012964562</v>
      </c>
      <c r="AM70" s="8">
        <v>487061.62489196198</v>
      </c>
      <c r="AN70" s="8">
        <v>447652.07433016424</v>
      </c>
      <c r="AO70" s="8">
        <v>408747.77441659465</v>
      </c>
      <c r="AP70" s="8">
        <v>370096.09982713911</v>
      </c>
      <c r="AQ70" s="8">
        <v>332202.30121002597</v>
      </c>
      <c r="AR70" s="8">
        <v>295571.62921348319</v>
      </c>
      <c r="AS70" s="8">
        <v>260204.08383751081</v>
      </c>
      <c r="AT70" s="8">
        <v>226352.29040622298</v>
      </c>
      <c r="AU70" s="8">
        <v>194521.4995678479</v>
      </c>
      <c r="AV70" s="8">
        <v>164964.33664649955</v>
      </c>
      <c r="AW70" s="8">
        <v>137933.42696629214</v>
      </c>
      <c r="AX70" s="8">
        <v>113428.7705272256</v>
      </c>
      <c r="AY70" s="8">
        <v>91702.992653413996</v>
      </c>
      <c r="AZ70" s="8">
        <v>72756.093344857378</v>
      </c>
      <c r="BA70" s="8">
        <v>56335.447277441664</v>
      </c>
      <c r="BB70" s="8">
        <v>42693.6797752809</v>
      </c>
      <c r="BC70" s="8">
        <v>31578.165514261022</v>
      </c>
      <c r="BD70" s="8">
        <v>22736.279170267931</v>
      </c>
      <c r="BE70" s="8">
        <v>15915.395419187555</v>
      </c>
      <c r="BF70" s="8">
        <v>10357.638288677615</v>
      </c>
      <c r="BG70" s="8">
        <v>6568.2584269662921</v>
      </c>
      <c r="BH70" s="8">
        <v>3031.5038893690576</v>
      </c>
      <c r="BI70" s="8">
        <v>1263.126620570441</v>
      </c>
      <c r="BJ70" s="8">
        <v>757.87597234226439</v>
      </c>
      <c r="BK70" s="8">
        <v>252.62532411408819</v>
      </c>
      <c r="BL70" s="8">
        <v>0</v>
      </c>
    </row>
    <row r="71" spans="3:68">
      <c r="C71" s="8">
        <f t="shared" si="19"/>
        <v>1735</v>
      </c>
      <c r="D71" s="8">
        <v>72089</v>
      </c>
      <c r="E71" s="8">
        <v>684700</v>
      </c>
      <c r="F71" s="8">
        <v>686312.71271689003</v>
      </c>
      <c r="G71" s="8">
        <v>670355.81748297834</v>
      </c>
      <c r="H71" s="8">
        <v>653734.05161432025</v>
      </c>
      <c r="I71" s="8">
        <f t="shared" si="20"/>
        <v>1.0023553566772163</v>
      </c>
      <c r="J71" s="8">
        <f t="shared" si="21"/>
        <v>0.97905041256459524</v>
      </c>
      <c r="K71" s="8">
        <f t="shared" si="22"/>
        <v>0.95477442911394805</v>
      </c>
      <c r="L71" s="8">
        <v>53</v>
      </c>
      <c r="M71" s="8">
        <v>0.44750000000000001</v>
      </c>
      <c r="N71" s="8">
        <f t="shared" si="23"/>
        <v>0.98286843839226889</v>
      </c>
      <c r="O71" s="8">
        <f t="shared" si="24"/>
        <v>0.98286843839226889</v>
      </c>
      <c r="P71" s="8">
        <v>756789</v>
      </c>
      <c r="Q71" s="8">
        <v>743824.02262244676</v>
      </c>
      <c r="R71" s="8">
        <v>730360.39226883382</v>
      </c>
      <c r="S71" s="8">
        <v>716231.89128047449</v>
      </c>
      <c r="T71" s="8">
        <v>701604.73731605534</v>
      </c>
      <c r="U71" s="8">
        <v>686312.71271689003</v>
      </c>
      <c r="V71" s="8">
        <v>670355.81748297834</v>
      </c>
      <c r="W71" s="8">
        <v>653734.05161432025</v>
      </c>
      <c r="X71" s="8">
        <v>636281.19745222933</v>
      </c>
      <c r="Y71" s="8">
        <v>618163.47265539214</v>
      </c>
      <c r="Z71" s="8">
        <v>599380.87722380843</v>
      </c>
      <c r="AA71" s="8">
        <v>579767.19349879201</v>
      </c>
      <c r="AB71" s="8">
        <v>559322.42148034275</v>
      </c>
      <c r="AC71" s="8">
        <v>538212.77882714686</v>
      </c>
      <c r="AD71" s="8">
        <v>516438.26553920493</v>
      </c>
      <c r="AE71" s="8">
        <v>493832.66395782999</v>
      </c>
      <c r="AF71" s="8">
        <v>470562.19174170878</v>
      </c>
      <c r="AG71" s="8">
        <v>446626.84889084118</v>
      </c>
      <c r="AH71" s="8">
        <v>422192.85306391394</v>
      </c>
      <c r="AI71" s="8">
        <v>397260.20426092687</v>
      </c>
      <c r="AJ71" s="8">
        <v>371828.9024818801</v>
      </c>
      <c r="AK71" s="8">
        <v>346231.38304414676</v>
      </c>
      <c r="AL71" s="8">
        <v>320467.64594772679</v>
      </c>
      <c r="AM71" s="8">
        <v>294537.69119262026</v>
      </c>
      <c r="AN71" s="8">
        <v>268940.17175488692</v>
      </c>
      <c r="AO71" s="8">
        <v>243508.86997584012</v>
      </c>
      <c r="AP71" s="8">
        <v>218576.22117285308</v>
      </c>
      <c r="AQ71" s="8">
        <v>194474.66066329894</v>
      </c>
      <c r="AR71" s="8">
        <v>171204.18844717767</v>
      </c>
      <c r="AS71" s="8">
        <v>148931.02218317593</v>
      </c>
      <c r="AT71" s="8">
        <v>127987.59718866681</v>
      </c>
      <c r="AU71" s="8">
        <v>108540.13112233693</v>
      </c>
      <c r="AV71" s="8">
        <v>90754.841642872838</v>
      </c>
      <c r="AW71" s="8">
        <v>74631.728750274546</v>
      </c>
      <c r="AX71" s="8">
        <v>60337.01010322864</v>
      </c>
      <c r="AY71" s="8">
        <v>47870.685701735121</v>
      </c>
      <c r="AZ71" s="8">
        <v>37066.537887107406</v>
      </c>
      <c r="BA71" s="8">
        <v>28090.784318032063</v>
      </c>
      <c r="BB71" s="8">
        <v>20777.207335822539</v>
      </c>
      <c r="BC71" s="8">
        <v>14959.589281792225</v>
      </c>
      <c r="BD71" s="8">
        <v>10471.712497254557</v>
      </c>
      <c r="BE71" s="8">
        <v>6814.9240061497921</v>
      </c>
      <c r="BF71" s="8">
        <v>4321.6591258510871</v>
      </c>
      <c r="BG71" s="8">
        <v>1994.611904238963</v>
      </c>
      <c r="BH71" s="8">
        <v>831.08829343290142</v>
      </c>
      <c r="BI71" s="8">
        <v>498.65297605974075</v>
      </c>
      <c r="BJ71" s="8">
        <v>166.21765868658028</v>
      </c>
      <c r="BK71" s="8">
        <v>0</v>
      </c>
      <c r="BL71" s="8">
        <v>0</v>
      </c>
    </row>
    <row r="72" spans="3:68">
      <c r="C72" s="8">
        <f t="shared" si="19"/>
        <v>1734</v>
      </c>
      <c r="D72" s="8">
        <v>72440</v>
      </c>
      <c r="E72" s="8">
        <v>1166574</v>
      </c>
      <c r="F72" s="8">
        <v>1116635.4105027933</v>
      </c>
      <c r="G72" s="8">
        <v>1088947.9468156423</v>
      </c>
      <c r="H72" s="8">
        <v>1059876.109944134</v>
      </c>
      <c r="I72" s="8">
        <f t="shared" si="20"/>
        <v>0.95719209454590393</v>
      </c>
      <c r="J72" s="8">
        <f t="shared" si="21"/>
        <v>0.93345809765659293</v>
      </c>
      <c r="K72" s="8">
        <f t="shared" si="22"/>
        <v>0.90853740092281676</v>
      </c>
      <c r="L72" s="8">
        <v>54</v>
      </c>
      <c r="M72" s="8">
        <v>0.43940000000000001</v>
      </c>
      <c r="N72" s="8">
        <f t="shared" si="23"/>
        <v>0.981899441340782</v>
      </c>
      <c r="O72" s="8">
        <f t="shared" si="24"/>
        <v>0.98189944134078211</v>
      </c>
      <c r="P72" s="8">
        <v>1239014</v>
      </c>
      <c r="Q72" s="8">
        <v>1216587.1544134077</v>
      </c>
      <c r="R72" s="8">
        <v>1193052.8102793295</v>
      </c>
      <c r="S72" s="8">
        <v>1168687.8422346369</v>
      </c>
      <c r="T72" s="8">
        <v>1143215.375642458</v>
      </c>
      <c r="U72" s="8">
        <v>1116635.4105027933</v>
      </c>
      <c r="V72" s="8">
        <v>1088947.9468156423</v>
      </c>
      <c r="W72" s="8">
        <v>1059876.109944134</v>
      </c>
      <c r="X72" s="8">
        <v>1029696.7745251397</v>
      </c>
      <c r="Y72" s="8">
        <v>998409.94055865915</v>
      </c>
      <c r="Z72" s="8">
        <v>965738.73340782116</v>
      </c>
      <c r="AA72" s="8">
        <v>931683.15307262575</v>
      </c>
      <c r="AB72" s="8">
        <v>896520.07418994408</v>
      </c>
      <c r="AC72" s="8">
        <v>860249.49675977638</v>
      </c>
      <c r="AD72" s="8">
        <v>822594.54614525125</v>
      </c>
      <c r="AE72" s="8">
        <v>783832.09698324034</v>
      </c>
      <c r="AF72" s="8">
        <v>743962.14927374292</v>
      </c>
      <c r="AG72" s="8">
        <v>703261.57765363122</v>
      </c>
      <c r="AH72" s="8">
        <v>661730.38212290488</v>
      </c>
      <c r="AI72" s="8">
        <v>619368.56268156425</v>
      </c>
      <c r="AJ72" s="8">
        <v>576729.86860335199</v>
      </c>
      <c r="AK72" s="8">
        <v>533814.29988826811</v>
      </c>
      <c r="AL72" s="8">
        <v>490621.85653631284</v>
      </c>
      <c r="AM72" s="8">
        <v>447983.16245810059</v>
      </c>
      <c r="AN72" s="8">
        <v>405621.34301675973</v>
      </c>
      <c r="AO72" s="8">
        <v>364090.14748603356</v>
      </c>
      <c r="AP72" s="8">
        <v>323943.32513966481</v>
      </c>
      <c r="AQ72" s="8">
        <v>285180.8759776536</v>
      </c>
      <c r="AR72" s="8">
        <v>248079.6746368715</v>
      </c>
      <c r="AS72" s="8">
        <v>213193.47039106145</v>
      </c>
      <c r="AT72" s="8">
        <v>180799.13787709497</v>
      </c>
      <c r="AU72" s="8">
        <v>151173.55173184359</v>
      </c>
      <c r="AV72" s="8">
        <v>124316.71195530727</v>
      </c>
      <c r="AW72" s="8">
        <v>100505.49318435755</v>
      </c>
      <c r="AX72" s="8">
        <v>79739.895418994405</v>
      </c>
      <c r="AY72" s="8">
        <v>61743.044022346367</v>
      </c>
      <c r="AZ72" s="8">
        <v>46791.813631284909</v>
      </c>
      <c r="BA72" s="8">
        <v>34609.329608938548</v>
      </c>
      <c r="BB72" s="8">
        <v>24918.717318435749</v>
      </c>
      <c r="BC72" s="8">
        <v>17443.102122905027</v>
      </c>
      <c r="BD72" s="8">
        <v>11351.860111731843</v>
      </c>
      <c r="BE72" s="8">
        <v>7198.7405586592176</v>
      </c>
      <c r="BF72" s="8">
        <v>3322.4956424581001</v>
      </c>
      <c r="BG72" s="8">
        <v>1384.373184357542</v>
      </c>
      <c r="BH72" s="8">
        <v>830.62391061452502</v>
      </c>
      <c r="BI72" s="8">
        <v>276.87463687150841</v>
      </c>
      <c r="BJ72" s="8">
        <v>0</v>
      </c>
      <c r="BK72" s="8">
        <v>0</v>
      </c>
      <c r="BL72" s="8">
        <v>0</v>
      </c>
    </row>
    <row r="73" spans="3:68">
      <c r="C73" s="8">
        <f t="shared" si="19"/>
        <v>1733</v>
      </c>
      <c r="D73" s="8">
        <v>70775</v>
      </c>
      <c r="E73" s="8">
        <v>952460</v>
      </c>
      <c r="F73" s="8">
        <v>915881.48725534813</v>
      </c>
      <c r="G73" s="8">
        <v>891430.03641329065</v>
      </c>
      <c r="H73" s="8">
        <v>866047.10172963131</v>
      </c>
      <c r="I73" s="8">
        <f t="shared" si="20"/>
        <v>0.96159574917093438</v>
      </c>
      <c r="J73" s="8">
        <f t="shared" si="21"/>
        <v>0.93592385655386123</v>
      </c>
      <c r="K73" s="8">
        <f t="shared" si="22"/>
        <v>0.90927398707518559</v>
      </c>
      <c r="L73" s="8">
        <v>55</v>
      </c>
      <c r="M73" s="8">
        <v>0.43090000000000001</v>
      </c>
      <c r="N73" s="8">
        <f t="shared" si="23"/>
        <v>0.98065543923532095</v>
      </c>
      <c r="O73" s="8">
        <f t="shared" si="24"/>
        <v>0.98065543923532084</v>
      </c>
      <c r="P73" s="8">
        <v>1023235</v>
      </c>
      <c r="Q73" s="8">
        <v>1003440.9683659537</v>
      </c>
      <c r="R73" s="8">
        <v>982948.3238507054</v>
      </c>
      <c r="S73" s="8">
        <v>961524.19549385516</v>
      </c>
      <c r="T73" s="8">
        <v>939168.58329540282</v>
      </c>
      <c r="U73" s="8">
        <v>915881.48725534813</v>
      </c>
      <c r="V73" s="8">
        <v>891430.03641329065</v>
      </c>
      <c r="W73" s="8">
        <v>866047.10172963131</v>
      </c>
      <c r="X73" s="8">
        <v>839732.6832043695</v>
      </c>
      <c r="Y73" s="8">
        <v>812253.90987710515</v>
      </c>
      <c r="Z73" s="8">
        <v>783610.78174783802</v>
      </c>
      <c r="AA73" s="8">
        <v>754036.16977696843</v>
      </c>
      <c r="AB73" s="8">
        <v>723530.07396449696</v>
      </c>
      <c r="AC73" s="8">
        <v>691859.62335002271</v>
      </c>
      <c r="AD73" s="8">
        <v>659257.68889394624</v>
      </c>
      <c r="AE73" s="8">
        <v>625724.27059626754</v>
      </c>
      <c r="AF73" s="8">
        <v>591492.23941738729</v>
      </c>
      <c r="AG73" s="8">
        <v>556561.59535730537</v>
      </c>
      <c r="AH73" s="8">
        <v>520932.3384160219</v>
      </c>
      <c r="AI73" s="8">
        <v>485070.2105143377</v>
      </c>
      <c r="AJ73" s="8">
        <v>448975.21165225311</v>
      </c>
      <c r="AK73" s="8">
        <v>412647.34182976786</v>
      </c>
      <c r="AL73" s="8">
        <v>376785.21392808377</v>
      </c>
      <c r="AM73" s="8">
        <v>341155.95698680013</v>
      </c>
      <c r="AN73" s="8">
        <v>306225.31292671821</v>
      </c>
      <c r="AO73" s="8">
        <v>272459.02366863907</v>
      </c>
      <c r="AP73" s="8">
        <v>239857.08921256254</v>
      </c>
      <c r="AQ73" s="8">
        <v>208652.38051888937</v>
      </c>
      <c r="AR73" s="8">
        <v>179310.63950842057</v>
      </c>
      <c r="AS73" s="8">
        <v>152064.73714155663</v>
      </c>
      <c r="AT73" s="8">
        <v>127147.54437869822</v>
      </c>
      <c r="AU73" s="8">
        <v>104559.06121984526</v>
      </c>
      <c r="AV73" s="8">
        <v>84532.158625398268</v>
      </c>
      <c r="AW73" s="8">
        <v>67066.836595357294</v>
      </c>
      <c r="AX73" s="8">
        <v>51930.224169321802</v>
      </c>
      <c r="AY73" s="8">
        <v>39355.192307692298</v>
      </c>
      <c r="AZ73" s="8">
        <v>29108.870050068275</v>
      </c>
      <c r="BA73" s="8">
        <v>20958.386436049157</v>
      </c>
      <c r="BB73" s="8">
        <v>14670.87050523441</v>
      </c>
      <c r="BC73" s="8">
        <v>9547.7093764223937</v>
      </c>
      <c r="BD73" s="8">
        <v>6054.6449704142015</v>
      </c>
      <c r="BE73" s="8">
        <v>2794.4515248065541</v>
      </c>
      <c r="BF73" s="8">
        <v>1164.354802002731</v>
      </c>
      <c r="BG73" s="8">
        <v>698.61288120163852</v>
      </c>
      <c r="BH73" s="8">
        <v>232.87096040054621</v>
      </c>
    </row>
    <row r="74" spans="3:68">
      <c r="C74" s="8">
        <f t="shared" si="19"/>
        <v>1732</v>
      </c>
      <c r="D74" s="8">
        <v>45353</v>
      </c>
      <c r="E74" s="8">
        <v>1047619</v>
      </c>
      <c r="F74" s="8">
        <v>970967.00301694113</v>
      </c>
      <c r="G74" s="8">
        <v>943319.30099791137</v>
      </c>
      <c r="H74" s="8">
        <v>914657.00440937572</v>
      </c>
      <c r="I74" s="8">
        <f t="shared" si="20"/>
        <v>0.92683218137217938</v>
      </c>
      <c r="J74" s="8">
        <f t="shared" si="21"/>
        <v>0.9004411918816968</v>
      </c>
      <c r="K74" s="8">
        <f t="shared" si="22"/>
        <v>0.8730817257126644</v>
      </c>
      <c r="L74" s="8">
        <v>56</v>
      </c>
      <c r="M74" s="8">
        <v>0.42209999999999998</v>
      </c>
      <c r="N74" s="8">
        <f t="shared" si="23"/>
        <v>0.9795776282200046</v>
      </c>
      <c r="O74" s="8">
        <f t="shared" si="24"/>
        <v>0.9795776282200046</v>
      </c>
      <c r="P74" s="8">
        <v>1092972</v>
      </c>
      <c r="Q74" s="8">
        <v>1070650.9194708748</v>
      </c>
      <c r="R74" s="8">
        <v>1047315.2443722441</v>
      </c>
      <c r="S74" s="8">
        <v>1022964.9747041076</v>
      </c>
      <c r="T74" s="8">
        <v>997600.11046646547</v>
      </c>
      <c r="U74" s="8">
        <v>970967.00301694113</v>
      </c>
      <c r="V74" s="8">
        <v>943319.30099791137</v>
      </c>
      <c r="W74" s="8">
        <v>914657.00440937572</v>
      </c>
      <c r="X74" s="8">
        <v>884726.46460895799</v>
      </c>
      <c r="Y74" s="8">
        <v>853527.68159665819</v>
      </c>
      <c r="Z74" s="8">
        <v>821314.3040148525</v>
      </c>
      <c r="AA74" s="8">
        <v>788086.33186354139</v>
      </c>
      <c r="AB74" s="8">
        <v>753590.11650034809</v>
      </c>
      <c r="AC74" s="8">
        <v>718079.30656764912</v>
      </c>
      <c r="AD74" s="8">
        <v>681553.9020654445</v>
      </c>
      <c r="AE74" s="8">
        <v>644267.55163611041</v>
      </c>
      <c r="AF74" s="8">
        <v>606220.25527964719</v>
      </c>
      <c r="AG74" s="8">
        <v>567412.01299605472</v>
      </c>
      <c r="AH74" s="8">
        <v>528350.12207008584</v>
      </c>
      <c r="AI74" s="8">
        <v>489034.58250174049</v>
      </c>
      <c r="AJ74" s="8">
        <v>449465.39429101878</v>
      </c>
      <c r="AK74" s="8">
        <v>410403.5033650499</v>
      </c>
      <c r="AL74" s="8">
        <v>371595.26108145737</v>
      </c>
      <c r="AM74" s="8">
        <v>333547.96472499421</v>
      </c>
      <c r="AN74" s="8">
        <v>296768.91158041311</v>
      </c>
      <c r="AO74" s="8">
        <v>261258.10164771407</v>
      </c>
      <c r="AP74" s="8">
        <v>227269.18356927359</v>
      </c>
      <c r="AQ74" s="8">
        <v>195309.45462984449</v>
      </c>
      <c r="AR74" s="8">
        <v>165632.56347180318</v>
      </c>
      <c r="AS74" s="8">
        <v>138492.1587375261</v>
      </c>
      <c r="AT74" s="8">
        <v>113888.24042701324</v>
      </c>
      <c r="AU74" s="8">
        <v>92074.457182640981</v>
      </c>
      <c r="AV74" s="8">
        <v>73050.80900440937</v>
      </c>
      <c r="AW74" s="8">
        <v>56563.647249941983</v>
      </c>
      <c r="AX74" s="8">
        <v>42866.620561615215</v>
      </c>
      <c r="AY74" s="8">
        <v>31706.080297052682</v>
      </c>
      <c r="AZ74" s="8">
        <v>22828.377813877927</v>
      </c>
      <c r="BA74" s="8">
        <v>15979.864469714552</v>
      </c>
      <c r="BB74" s="8">
        <v>10399.59433743328</v>
      </c>
      <c r="BC74" s="8">
        <v>6594.8647017869571</v>
      </c>
      <c r="BD74" s="8">
        <v>3043.7837085170572</v>
      </c>
      <c r="BE74" s="8">
        <v>1268.2432118821073</v>
      </c>
      <c r="BF74" s="8">
        <v>760.94592712926431</v>
      </c>
      <c r="BG74" s="8">
        <v>253.64864237642144</v>
      </c>
      <c r="BH74" s="8">
        <v>0</v>
      </c>
    </row>
    <row r="75" spans="3:68">
      <c r="C75" s="8">
        <f t="shared" si="19"/>
        <v>1731</v>
      </c>
      <c r="D75" s="8">
        <v>69614</v>
      </c>
      <c r="E75" s="8">
        <v>839969</v>
      </c>
      <c r="F75" s="8">
        <v>801407.05448945751</v>
      </c>
      <c r="G75" s="8">
        <v>777056.69225302059</v>
      </c>
      <c r="H75" s="8">
        <v>751628.88036010426</v>
      </c>
      <c r="I75" s="8">
        <f t="shared" si="20"/>
        <v>0.95409122775895006</v>
      </c>
      <c r="J75" s="8">
        <f t="shared" si="21"/>
        <v>0.92510163143285118</v>
      </c>
      <c r="K75" s="8">
        <f t="shared" si="22"/>
        <v>0.8948293096055977</v>
      </c>
      <c r="L75" s="8">
        <v>57</v>
      </c>
      <c r="M75" s="8">
        <v>0.41289999999999999</v>
      </c>
      <c r="N75" s="8">
        <f t="shared" si="23"/>
        <v>0.97820421701018712</v>
      </c>
      <c r="O75" s="8">
        <f t="shared" si="24"/>
        <v>0.97820421701018723</v>
      </c>
      <c r="P75" s="8">
        <v>909583</v>
      </c>
      <c r="Q75" s="8">
        <v>889757.92632077704</v>
      </c>
      <c r="R75" s="8">
        <v>869070.89291637065</v>
      </c>
      <c r="S75" s="8">
        <v>847521.89978678047</v>
      </c>
      <c r="T75" s="8">
        <v>824895.45700071077</v>
      </c>
      <c r="U75" s="8">
        <v>801407.05448945751</v>
      </c>
      <c r="V75" s="8">
        <v>777056.69225302059</v>
      </c>
      <c r="W75" s="8">
        <v>751628.88036010426</v>
      </c>
      <c r="X75" s="8">
        <v>725123.61881070852</v>
      </c>
      <c r="Y75" s="8">
        <v>697756.39753612888</v>
      </c>
      <c r="Z75" s="8">
        <v>669527.2165363658</v>
      </c>
      <c r="AA75" s="8">
        <v>640220.58588012308</v>
      </c>
      <c r="AB75" s="8">
        <v>610051.99549869704</v>
      </c>
      <c r="AC75" s="8">
        <v>579021.44539208722</v>
      </c>
      <c r="AD75" s="8">
        <v>547344.4254915897</v>
      </c>
      <c r="AE75" s="8">
        <v>515020.9357972045</v>
      </c>
      <c r="AF75" s="8">
        <v>482050.9763089316</v>
      </c>
      <c r="AG75" s="8">
        <v>448865.52688936278</v>
      </c>
      <c r="AH75" s="8">
        <v>415464.58753849805</v>
      </c>
      <c r="AI75" s="8">
        <v>381848.15825633734</v>
      </c>
      <c r="AJ75" s="8">
        <v>348662.70883676858</v>
      </c>
      <c r="AK75" s="8">
        <v>315692.74934849556</v>
      </c>
      <c r="AL75" s="8">
        <v>283369.25965411041</v>
      </c>
      <c r="AM75" s="8">
        <v>252123.21961620473</v>
      </c>
      <c r="AN75" s="8">
        <v>221954.62923477849</v>
      </c>
      <c r="AO75" s="8">
        <v>193078.97844112769</v>
      </c>
      <c r="AP75" s="8">
        <v>165927.24709784414</v>
      </c>
      <c r="AQ75" s="8">
        <v>140714.92513622364</v>
      </c>
      <c r="AR75" s="8">
        <v>117657.5024875622</v>
      </c>
      <c r="AS75" s="8">
        <v>96754.979151859763</v>
      </c>
      <c r="AT75" s="8">
        <v>78222.845060412234</v>
      </c>
      <c r="AU75" s="8">
        <v>62061.100213219615</v>
      </c>
      <c r="AV75" s="8">
        <v>48054.254678986028</v>
      </c>
      <c r="AW75" s="8">
        <v>36417.798389007345</v>
      </c>
      <c r="AX75" s="8">
        <v>26936.241411987685</v>
      </c>
      <c r="AY75" s="8">
        <v>19394.093816631128</v>
      </c>
      <c r="AZ75" s="8">
        <v>13575.865671641792</v>
      </c>
      <c r="BA75" s="8">
        <v>8835.08718313196</v>
      </c>
      <c r="BB75" s="8">
        <v>5602.7382136934375</v>
      </c>
      <c r="BC75" s="8">
        <v>2585.8791755508173</v>
      </c>
      <c r="BD75" s="8">
        <v>1077.4496564795072</v>
      </c>
      <c r="BE75" s="8">
        <v>646.46979388770433</v>
      </c>
      <c r="BF75" s="8">
        <v>215.48993129590147</v>
      </c>
      <c r="BG75" s="8">
        <v>0</v>
      </c>
      <c r="BH75" s="8">
        <v>0</v>
      </c>
    </row>
    <row r="76" spans="3:68">
      <c r="C76" s="8">
        <f t="shared" si="19"/>
        <v>1730</v>
      </c>
      <c r="D76" s="8">
        <v>77869</v>
      </c>
      <c r="E76" s="8">
        <v>1023424</v>
      </c>
      <c r="F76" s="8">
        <v>961797.66480988136</v>
      </c>
      <c r="G76" s="8">
        <v>930324.52991038992</v>
      </c>
      <c r="H76" s="8">
        <v>897517.78759990318</v>
      </c>
      <c r="I76" s="8">
        <f t="shared" si="20"/>
        <v>0.93978416063125481</v>
      </c>
      <c r="J76" s="8">
        <f t="shared" si="21"/>
        <v>0.90903137889124153</v>
      </c>
      <c r="K76" s="8">
        <f t="shared" si="22"/>
        <v>0.87697551317919376</v>
      </c>
      <c r="L76" s="8">
        <v>58</v>
      </c>
      <c r="M76" s="8">
        <v>0.40329999999999999</v>
      </c>
      <c r="N76" s="8">
        <f t="shared" si="23"/>
        <v>0.97674981835795605</v>
      </c>
      <c r="O76" s="8">
        <f t="shared" si="24"/>
        <v>0.97674981835795593</v>
      </c>
      <c r="P76" s="8">
        <v>1101293</v>
      </c>
      <c r="Q76" s="8">
        <v>1075687.7377088885</v>
      </c>
      <c r="R76" s="8">
        <v>1049015.5894889804</v>
      </c>
      <c r="S76" s="8">
        <v>1021009.8338580769</v>
      </c>
      <c r="T76" s="8">
        <v>991937.1922983774</v>
      </c>
      <c r="U76" s="8">
        <v>961797.66480988136</v>
      </c>
      <c r="V76" s="8">
        <v>930324.52991038992</v>
      </c>
      <c r="W76" s="8">
        <v>897517.78759990318</v>
      </c>
      <c r="X76" s="8">
        <v>863644.15936061996</v>
      </c>
      <c r="Y76" s="8">
        <v>828703.6451925406</v>
      </c>
      <c r="Z76" s="8">
        <v>792429.52361346572</v>
      </c>
      <c r="AA76" s="8">
        <v>755088.5161055947</v>
      </c>
      <c r="AB76" s="8">
        <v>716680.62266892707</v>
      </c>
      <c r="AC76" s="8">
        <v>677472.56478566246</v>
      </c>
      <c r="AD76" s="8">
        <v>637464.34245580051</v>
      </c>
      <c r="AE76" s="8">
        <v>596655.95567934134</v>
      </c>
      <c r="AF76" s="8">
        <v>555580.84742068301</v>
      </c>
      <c r="AG76" s="8">
        <v>514239.01767982566</v>
      </c>
      <c r="AH76" s="8">
        <v>472630.46645676921</v>
      </c>
      <c r="AI76" s="8">
        <v>431555.35819811089</v>
      </c>
      <c r="AJ76" s="8">
        <v>390746.97142165172</v>
      </c>
      <c r="AK76" s="8">
        <v>350738.74909178982</v>
      </c>
      <c r="AL76" s="8">
        <v>312064.13417292322</v>
      </c>
      <c r="AM76" s="8">
        <v>274723.12666505203</v>
      </c>
      <c r="AN76" s="8">
        <v>238982.44805037539</v>
      </c>
      <c r="AO76" s="8">
        <v>205375.54129329138</v>
      </c>
      <c r="AP76" s="8">
        <v>174169.12787599902</v>
      </c>
      <c r="AQ76" s="8">
        <v>145629.92928069751</v>
      </c>
      <c r="AR76" s="8">
        <v>119757.94550738679</v>
      </c>
      <c r="AS76" s="8">
        <v>96819.898038265921</v>
      </c>
      <c r="AT76" s="8">
        <v>76815.786873334946</v>
      </c>
      <c r="AU76" s="8">
        <v>59478.890530394776</v>
      </c>
      <c r="AV76" s="8">
        <v>45075.930491644467</v>
      </c>
      <c r="AW76" s="8">
        <v>33340.185274884963</v>
      </c>
      <c r="AX76" s="8">
        <v>24004.933397917168</v>
      </c>
      <c r="AY76" s="8">
        <v>16803.453378542021</v>
      </c>
      <c r="AZ76" s="8">
        <v>10935.580770162267</v>
      </c>
      <c r="BA76" s="8">
        <v>6934.7585371760715</v>
      </c>
      <c r="BB76" s="8">
        <v>3200.6577863889556</v>
      </c>
      <c r="BC76" s="8">
        <v>1333.6074109953986</v>
      </c>
      <c r="BD76" s="8">
        <v>800.16444659723891</v>
      </c>
      <c r="BE76" s="8">
        <v>266.72148219907967</v>
      </c>
      <c r="BF76" s="8">
        <v>0</v>
      </c>
      <c r="BG76" s="8">
        <v>0</v>
      </c>
      <c r="BH76" s="8">
        <v>0</v>
      </c>
    </row>
    <row r="77" spans="3:68">
      <c r="C77" s="8">
        <f t="shared" si="19"/>
        <v>1729</v>
      </c>
      <c r="D77" s="8">
        <v>73184</v>
      </c>
      <c r="E77" s="8">
        <v>850353</v>
      </c>
      <c r="F77" s="8">
        <v>798734.70270270272</v>
      </c>
      <c r="G77" s="8">
        <v>770568.3126704687</v>
      </c>
      <c r="H77" s="8">
        <v>741485.94247458468</v>
      </c>
      <c r="I77" s="8">
        <f t="shared" si="20"/>
        <v>0.93929780068124968</v>
      </c>
      <c r="J77" s="8">
        <f t="shared" si="21"/>
        <v>0.90617462709071261</v>
      </c>
      <c r="K77" s="8">
        <f t="shared" si="22"/>
        <v>0.87197427712324727</v>
      </c>
      <c r="L77" s="8">
        <v>59</v>
      </c>
      <c r="M77" s="8">
        <v>0.39329999999999998</v>
      </c>
      <c r="N77" s="8">
        <f t="shared" si="23"/>
        <v>0.97520456236052555</v>
      </c>
      <c r="O77" s="8">
        <f t="shared" si="24"/>
        <v>0.97520456236052566</v>
      </c>
      <c r="P77" s="8">
        <v>923537</v>
      </c>
      <c r="Q77" s="8">
        <v>900637.49590875267</v>
      </c>
      <c r="R77" s="8">
        <v>876593.01661294315</v>
      </c>
      <c r="S77" s="8">
        <v>851632.55715348374</v>
      </c>
      <c r="T77" s="8">
        <v>825756.11753037444</v>
      </c>
      <c r="U77" s="8">
        <v>798734.70270270272</v>
      </c>
      <c r="V77" s="8">
        <v>770568.3126704687</v>
      </c>
      <c r="W77" s="8">
        <v>741485.94247458468</v>
      </c>
      <c r="X77" s="8">
        <v>711487.59211505088</v>
      </c>
      <c r="Y77" s="8">
        <v>680344.26655095455</v>
      </c>
      <c r="Z77" s="8">
        <v>648284.96082320856</v>
      </c>
      <c r="AA77" s="8">
        <v>615309.67493181257</v>
      </c>
      <c r="AB77" s="8">
        <v>581647.40391767921</v>
      </c>
      <c r="AC77" s="8">
        <v>547298.14778080827</v>
      </c>
      <c r="AD77" s="8">
        <v>512261.90652120014</v>
      </c>
      <c r="AE77" s="8">
        <v>476996.67022067943</v>
      </c>
      <c r="AF77" s="8">
        <v>441502.43887924618</v>
      </c>
      <c r="AG77" s="8">
        <v>405779.21249690052</v>
      </c>
      <c r="AH77" s="8">
        <v>370513.97619637987</v>
      </c>
      <c r="AI77" s="8">
        <v>335477.73493677157</v>
      </c>
      <c r="AJ77" s="8">
        <v>301128.4787999008</v>
      </c>
      <c r="AK77" s="8">
        <v>267924.19786759239</v>
      </c>
      <c r="AL77" s="8">
        <v>235864.89213984628</v>
      </c>
      <c r="AM77" s="8">
        <v>205179.55665757501</v>
      </c>
      <c r="AN77" s="8">
        <v>176326.18150260352</v>
      </c>
      <c r="AO77" s="8">
        <v>149533.76171584427</v>
      </c>
      <c r="AP77" s="8">
        <v>125031.29233820978</v>
      </c>
      <c r="AQ77" s="8">
        <v>102818.77336969998</v>
      </c>
      <c r="AR77" s="8">
        <v>83125.199851227386</v>
      </c>
      <c r="AS77" s="8">
        <v>65950.571782791973</v>
      </c>
      <c r="AT77" s="8">
        <v>51065.894123481281</v>
      </c>
      <c r="AU77" s="8">
        <v>38700.161914207783</v>
      </c>
      <c r="AV77" s="8">
        <v>28624.380114059019</v>
      </c>
      <c r="AW77" s="8">
        <v>20609.553682122485</v>
      </c>
      <c r="AX77" s="8">
        <v>14426.687577485742</v>
      </c>
      <c r="AY77" s="8">
        <v>9388.7966774113575</v>
      </c>
      <c r="AZ77" s="8">
        <v>5953.8710637242748</v>
      </c>
      <c r="BA77" s="8">
        <v>2747.9404909496648</v>
      </c>
      <c r="BB77" s="8">
        <v>1144.9752045623607</v>
      </c>
      <c r="BC77" s="8">
        <v>686.98512273741619</v>
      </c>
      <c r="BD77" s="8">
        <v>228.99504091247212</v>
      </c>
      <c r="BE77" s="8">
        <v>0</v>
      </c>
      <c r="BF77" s="8">
        <v>0</v>
      </c>
      <c r="BG77" s="8">
        <v>0</v>
      </c>
      <c r="BH77" s="8">
        <v>0</v>
      </c>
    </row>
    <row r="78" spans="3:68">
      <c r="C78" s="8">
        <f t="shared" si="19"/>
        <v>1728</v>
      </c>
      <c r="D78" s="8">
        <v>88957</v>
      </c>
      <c r="E78" s="8">
        <v>775703</v>
      </c>
      <c r="F78" s="8">
        <v>739786.65141113661</v>
      </c>
      <c r="G78" s="8">
        <v>711866.0259344012</v>
      </c>
      <c r="H78" s="8">
        <v>683066.01067887107</v>
      </c>
      <c r="I78" s="8">
        <f t="shared" si="20"/>
        <v>0.95369832450195058</v>
      </c>
      <c r="J78" s="8">
        <f t="shared" si="21"/>
        <v>0.91770436099177288</v>
      </c>
      <c r="K78" s="8">
        <f t="shared" si="22"/>
        <v>0.88057672933954245</v>
      </c>
      <c r="L78" s="8">
        <v>60</v>
      </c>
      <c r="M78" s="8">
        <v>0.38279999999999997</v>
      </c>
      <c r="N78" s="8">
        <f t="shared" si="23"/>
        <v>0.97330282227307396</v>
      </c>
      <c r="O78" s="8">
        <f t="shared" si="24"/>
        <v>0.97330282227307396</v>
      </c>
      <c r="P78" s="8">
        <v>864660</v>
      </c>
      <c r="Q78" s="8">
        <v>841576.01830663614</v>
      </c>
      <c r="R78" s="8">
        <v>817612.64683447755</v>
      </c>
      <c r="S78" s="8">
        <v>792769.88558352413</v>
      </c>
      <c r="T78" s="8">
        <v>766827.88710907707</v>
      </c>
      <c r="U78" s="8">
        <v>739786.65141113661</v>
      </c>
      <c r="V78" s="8">
        <v>711866.0259344012</v>
      </c>
      <c r="W78" s="8">
        <v>683066.01067887107</v>
      </c>
      <c r="X78" s="8">
        <v>653166.75819984742</v>
      </c>
      <c r="Y78" s="8">
        <v>622388.11594202905</v>
      </c>
      <c r="Z78" s="8">
        <v>590730.08390541573</v>
      </c>
      <c r="AA78" s="8">
        <v>558412.50953470636</v>
      </c>
      <c r="AB78" s="8">
        <v>525435.39282990084</v>
      </c>
      <c r="AC78" s="8">
        <v>491798.73379099928</v>
      </c>
      <c r="AD78" s="8">
        <v>457942.22730739898</v>
      </c>
      <c r="AE78" s="8">
        <v>423865.87337909994</v>
      </c>
      <c r="AF78" s="8">
        <v>389569.67200610222</v>
      </c>
      <c r="AG78" s="8">
        <v>355713.16552250198</v>
      </c>
      <c r="AH78" s="8">
        <v>322076.5064836003</v>
      </c>
      <c r="AI78" s="8">
        <v>289099.38977879484</v>
      </c>
      <c r="AJ78" s="8">
        <v>257221.51029748286</v>
      </c>
      <c r="AK78" s="8">
        <v>226442.86803966438</v>
      </c>
      <c r="AL78" s="8">
        <v>196983.31045003812</v>
      </c>
      <c r="AM78" s="8">
        <v>169282.5324180015</v>
      </c>
      <c r="AN78" s="8">
        <v>143560.38138825324</v>
      </c>
      <c r="AO78" s="8">
        <v>120036.704805492</v>
      </c>
      <c r="AP78" s="8">
        <v>98711.502669717782</v>
      </c>
      <c r="AQ78" s="8">
        <v>79804.622425629292</v>
      </c>
      <c r="AR78" s="8">
        <v>63316.064073226546</v>
      </c>
      <c r="AS78" s="8">
        <v>49025.980167810834</v>
      </c>
      <c r="AT78" s="8">
        <v>37154.218154080852</v>
      </c>
      <c r="AU78" s="8">
        <v>27480.930587337913</v>
      </c>
      <c r="AV78" s="8">
        <v>19786.270022883295</v>
      </c>
      <c r="AW78" s="8">
        <v>13850.389016018307</v>
      </c>
      <c r="AX78" s="8">
        <v>9013.7452326468356</v>
      </c>
      <c r="AY78" s="8">
        <v>5716.0335621662853</v>
      </c>
      <c r="AZ78" s="8">
        <v>2638.1693363844392</v>
      </c>
      <c r="BA78" s="8">
        <v>1099.2372234935165</v>
      </c>
      <c r="BB78" s="8">
        <v>659.54233409610981</v>
      </c>
      <c r="BC78" s="8">
        <v>219.8474446987033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</row>
    <row r="79" spans="3:68">
      <c r="C79" s="8">
        <f t="shared" si="19"/>
        <v>1727</v>
      </c>
      <c r="D79" s="8">
        <v>68616</v>
      </c>
      <c r="E79" s="8">
        <v>1087468</v>
      </c>
      <c r="F79" s="8">
        <v>977899.68443051202</v>
      </c>
      <c r="G79" s="8">
        <v>938336.72622779524</v>
      </c>
      <c r="H79" s="8">
        <v>897263.73145245551</v>
      </c>
      <c r="I79" s="8">
        <f t="shared" si="20"/>
        <v>0.89924456115537377</v>
      </c>
      <c r="J79" s="8">
        <f t="shared" si="21"/>
        <v>0.86286375895915579</v>
      </c>
      <c r="K79" s="8">
        <f t="shared" si="22"/>
        <v>0.8250943765264408</v>
      </c>
      <c r="L79" s="8">
        <v>61</v>
      </c>
      <c r="M79" s="8">
        <v>0.37190000000000001</v>
      </c>
      <c r="N79" s="8">
        <f t="shared" si="23"/>
        <v>0.97152560083594564</v>
      </c>
      <c r="O79" s="8">
        <f t="shared" si="24"/>
        <v>0.97152560083594575</v>
      </c>
      <c r="P79" s="8">
        <v>1156084</v>
      </c>
      <c r="Q79" s="8">
        <v>1123165.2027168234</v>
      </c>
      <c r="R79" s="8">
        <v>1089038.3761755486</v>
      </c>
      <c r="S79" s="8">
        <v>1053401.513061651</v>
      </c>
      <c r="T79" s="8">
        <v>1016254.6133751307</v>
      </c>
      <c r="U79" s="8">
        <v>977899.68443051202</v>
      </c>
      <c r="V79" s="8">
        <v>938336.72622779524</v>
      </c>
      <c r="W79" s="8">
        <v>897263.73145245551</v>
      </c>
      <c r="X79" s="8">
        <v>854982.70741901791</v>
      </c>
      <c r="Y79" s="8">
        <v>811493.65412748174</v>
      </c>
      <c r="Z79" s="8">
        <v>767098.57889237208</v>
      </c>
      <c r="AA79" s="8">
        <v>721797.4817136887</v>
      </c>
      <c r="AB79" s="8">
        <v>675590.36259143159</v>
      </c>
      <c r="AC79" s="8">
        <v>629081.23615464999</v>
      </c>
      <c r="AD79" s="8">
        <v>582270.10240334389</v>
      </c>
      <c r="AE79" s="8">
        <v>535156.96133751306</v>
      </c>
      <c r="AF79" s="8">
        <v>488647.83490073151</v>
      </c>
      <c r="AG79" s="8">
        <v>442440.7157784744</v>
      </c>
      <c r="AH79" s="8">
        <v>397139.61859979102</v>
      </c>
      <c r="AI79" s="8">
        <v>353348.55799373047</v>
      </c>
      <c r="AJ79" s="8">
        <v>311067.53396029258</v>
      </c>
      <c r="AK79" s="8">
        <v>270598.55381400208</v>
      </c>
      <c r="AL79" s="8">
        <v>232545.63218390805</v>
      </c>
      <c r="AM79" s="8">
        <v>197210.77638453501</v>
      </c>
      <c r="AN79" s="8">
        <v>164895.99373040756</v>
      </c>
      <c r="AO79" s="8">
        <v>135601.28422152562</v>
      </c>
      <c r="AP79" s="8">
        <v>109628.6551724138</v>
      </c>
      <c r="AQ79" s="8">
        <v>86978.106583072105</v>
      </c>
      <c r="AR79" s="8">
        <v>67347.631138975979</v>
      </c>
      <c r="AS79" s="8">
        <v>51039.236154649945</v>
      </c>
      <c r="AT79" s="8">
        <v>37750.914315569491</v>
      </c>
      <c r="AU79" s="8">
        <v>27180.658307210033</v>
      </c>
      <c r="AV79" s="8">
        <v>19026.460815047023</v>
      </c>
      <c r="AW79" s="8">
        <v>12382.299895506794</v>
      </c>
      <c r="AX79" s="8">
        <v>7852.190177638453</v>
      </c>
      <c r="AY79" s="8">
        <v>3624.0877742946709</v>
      </c>
      <c r="AZ79" s="8">
        <v>1510.0365726227797</v>
      </c>
      <c r="BA79" s="8">
        <v>906.02194357366773</v>
      </c>
      <c r="BB79" s="8">
        <v>302.00731452455591</v>
      </c>
    </row>
    <row r="80" spans="3:68">
      <c r="C80" s="8">
        <f t="shared" si="19"/>
        <v>1726</v>
      </c>
      <c r="D80" s="8">
        <v>76395</v>
      </c>
      <c r="E80" s="8">
        <v>798007</v>
      </c>
      <c r="F80" s="8">
        <v>730510.08712019352</v>
      </c>
      <c r="G80" s="8">
        <v>698534.10648023651</v>
      </c>
      <c r="H80" s="8">
        <v>665617.65582145739</v>
      </c>
      <c r="I80" s="8">
        <f t="shared" si="20"/>
        <v>0.91541814435235969</v>
      </c>
      <c r="J80" s="8">
        <f t="shared" si="21"/>
        <v>0.87534834466393974</v>
      </c>
      <c r="K80" s="8">
        <f t="shared" si="22"/>
        <v>0.83410002145527218</v>
      </c>
      <c r="L80" s="8">
        <v>62</v>
      </c>
      <c r="M80" s="8">
        <v>0.36059999999999998</v>
      </c>
      <c r="N80" s="8">
        <f t="shared" si="23"/>
        <v>0.96961548803441777</v>
      </c>
      <c r="O80" s="8">
        <f t="shared" si="24"/>
        <v>0.96961548803441777</v>
      </c>
      <c r="P80" s="8">
        <v>874402</v>
      </c>
      <c r="Q80" s="8">
        <v>847833.72196827095</v>
      </c>
      <c r="R80" s="8">
        <v>820089.85641301423</v>
      </c>
      <c r="S80" s="8">
        <v>791170.40333422972</v>
      </c>
      <c r="T80" s="8">
        <v>761310.48023662274</v>
      </c>
      <c r="U80" s="8">
        <v>730510.08712019352</v>
      </c>
      <c r="V80" s="8">
        <v>698534.10648023651</v>
      </c>
      <c r="W80" s="8">
        <v>665617.65582145739</v>
      </c>
      <c r="X80" s="8">
        <v>631760.73514385591</v>
      </c>
      <c r="Y80" s="8">
        <v>597198.46195213764</v>
      </c>
      <c r="Z80" s="8">
        <v>561930.8362463027</v>
      </c>
      <c r="AA80" s="8">
        <v>525957.8580263512</v>
      </c>
      <c r="AB80" s="8">
        <v>489749.76230169402</v>
      </c>
      <c r="AC80" s="8">
        <v>453306.54907233123</v>
      </c>
      <c r="AD80" s="8">
        <v>416628.21833826299</v>
      </c>
      <c r="AE80" s="8">
        <v>380420.12261360575</v>
      </c>
      <c r="AF80" s="8">
        <v>344447.14439365419</v>
      </c>
      <c r="AG80" s="8">
        <v>309179.51868781931</v>
      </c>
      <c r="AH80" s="8">
        <v>275087.48050551221</v>
      </c>
      <c r="AI80" s="8">
        <v>242171.02984673294</v>
      </c>
      <c r="AJ80" s="8">
        <v>210665.28421618717</v>
      </c>
      <c r="AK80" s="8">
        <v>181040.47862328583</v>
      </c>
      <c r="AL80" s="8">
        <v>153531.73057273458</v>
      </c>
      <c r="AM80" s="8">
        <v>128374.15756923905</v>
      </c>
      <c r="AN80" s="8">
        <v>105567.75961279914</v>
      </c>
      <c r="AO80" s="8">
        <v>85347.654208120468</v>
      </c>
      <c r="AP80" s="8">
        <v>67713.841355203011</v>
      </c>
      <c r="AQ80" s="8">
        <v>52431.203549341219</v>
      </c>
      <c r="AR80" s="8">
        <v>39734.85829524065</v>
      </c>
      <c r="AS80" s="8">
        <v>29389.688088195755</v>
      </c>
      <c r="AT80" s="8">
        <v>21160.575423500941</v>
      </c>
      <c r="AU80" s="8">
        <v>14812.402796450659</v>
      </c>
      <c r="AV80" s="8">
        <v>9639.8176929282072</v>
      </c>
      <c r="AW80" s="8">
        <v>6113.0551223447164</v>
      </c>
      <c r="AX80" s="8">
        <v>2821.4100564667915</v>
      </c>
      <c r="AY80" s="8">
        <v>1175.5875235278302</v>
      </c>
      <c r="AZ80" s="8">
        <v>705.35251411669788</v>
      </c>
      <c r="BA80" s="8">
        <v>235.11750470556601</v>
      </c>
      <c r="BB80" s="8">
        <v>0</v>
      </c>
    </row>
    <row r="81" spans="3:54">
      <c r="C81" s="8">
        <f t="shared" si="19"/>
        <v>1725</v>
      </c>
      <c r="D81" s="8">
        <v>125095</v>
      </c>
      <c r="E81" s="8">
        <v>735738</v>
      </c>
      <c r="F81" s="8">
        <v>709244.27149195783</v>
      </c>
      <c r="G81" s="8">
        <v>675823.13449805893</v>
      </c>
      <c r="H81" s="8">
        <v>641447.10787576262</v>
      </c>
      <c r="I81" s="8">
        <f t="shared" si="20"/>
        <v>0.96399026758432738</v>
      </c>
      <c r="J81" s="8">
        <f t="shared" si="21"/>
        <v>0.91856494363218832</v>
      </c>
      <c r="K81" s="8">
        <f t="shared" si="22"/>
        <v>0.87184175328141622</v>
      </c>
      <c r="L81" s="8">
        <v>63</v>
      </c>
      <c r="M81" s="8">
        <v>0.3488</v>
      </c>
      <c r="N81" s="8">
        <f t="shared" si="23"/>
        <v>0.96727676095396575</v>
      </c>
      <c r="O81" s="8">
        <f t="shared" si="24"/>
        <v>0.96727676095396564</v>
      </c>
      <c r="P81" s="8">
        <v>860833</v>
      </c>
      <c r="Q81" s="8">
        <v>832663.75596228521</v>
      </c>
      <c r="R81" s="8">
        <v>803300.89988907392</v>
      </c>
      <c r="S81" s="8">
        <v>772983.15418746532</v>
      </c>
      <c r="T81" s="8">
        <v>741710.51885745977</v>
      </c>
      <c r="U81" s="8">
        <v>709244.27149195783</v>
      </c>
      <c r="V81" s="8">
        <v>675823.13449805893</v>
      </c>
      <c r="W81" s="8">
        <v>641447.10787576262</v>
      </c>
      <c r="X81" s="8">
        <v>606354.91403216869</v>
      </c>
      <c r="Y81" s="8">
        <v>570546.55296727677</v>
      </c>
      <c r="Z81" s="8">
        <v>534022.02468108712</v>
      </c>
      <c r="AA81" s="8">
        <v>497258.77398779819</v>
      </c>
      <c r="AB81" s="8">
        <v>460256.80088740989</v>
      </c>
      <c r="AC81" s="8">
        <v>423016.10537992237</v>
      </c>
      <c r="AD81" s="8">
        <v>386252.85468663339</v>
      </c>
      <c r="AE81" s="8">
        <v>349728.32640044374</v>
      </c>
      <c r="AF81" s="8">
        <v>313919.96533555188</v>
      </c>
      <c r="AG81" s="8">
        <v>279305.21630615648</v>
      </c>
      <c r="AH81" s="8">
        <v>245884.07931225735</v>
      </c>
      <c r="AI81" s="8">
        <v>213895.27676095397</v>
      </c>
      <c r="AJ81" s="8">
        <v>183816.25346644485</v>
      </c>
      <c r="AK81" s="8">
        <v>155885.73183582918</v>
      </c>
      <c r="AL81" s="8">
        <v>130342.43427620633</v>
      </c>
      <c r="AM81" s="8">
        <v>107186.36078757627</v>
      </c>
      <c r="AN81" s="8">
        <v>86656.233777038273</v>
      </c>
      <c r="AO81" s="8">
        <v>68752.053244592345</v>
      </c>
      <c r="AP81" s="8">
        <v>53235.096783139219</v>
      </c>
      <c r="AQ81" s="8">
        <v>40344.086799778146</v>
      </c>
      <c r="AR81" s="8">
        <v>29840.300887409874</v>
      </c>
      <c r="AS81" s="8">
        <v>21485.016638935107</v>
      </c>
      <c r="AT81" s="8">
        <v>15039.511647254578</v>
      </c>
      <c r="AU81" s="8">
        <v>9787.61869107044</v>
      </c>
      <c r="AV81" s="8">
        <v>6206.7825845812531</v>
      </c>
      <c r="AW81" s="8">
        <v>2864.6688851913477</v>
      </c>
      <c r="AX81" s="8">
        <v>1193.612035496395</v>
      </c>
      <c r="AY81" s="8">
        <v>716.16722129783693</v>
      </c>
      <c r="AZ81" s="8">
        <v>238.72240709927902</v>
      </c>
      <c r="BA81" s="8">
        <v>0</v>
      </c>
      <c r="BB81" s="8">
        <v>0</v>
      </c>
    </row>
    <row r="82" spans="3:54">
      <c r="C82" s="8">
        <f t="shared" si="19"/>
        <v>1724</v>
      </c>
      <c r="D82" s="8">
        <v>129527</v>
      </c>
      <c r="E82" s="8">
        <v>607901</v>
      </c>
      <c r="F82" s="8">
        <v>598525.99426605506</v>
      </c>
      <c r="G82" s="8">
        <v>568081.71903669718</v>
      </c>
      <c r="H82" s="8">
        <v>537003.18807339447</v>
      </c>
      <c r="I82" s="8">
        <f t="shared" si="20"/>
        <v>0.98457807153805477</v>
      </c>
      <c r="J82" s="8">
        <f t="shared" si="21"/>
        <v>0.93449709580457541</v>
      </c>
      <c r="K82" s="8">
        <f t="shared" si="22"/>
        <v>0.88337276640998197</v>
      </c>
      <c r="L82" s="8">
        <v>64</v>
      </c>
      <c r="M82" s="8">
        <v>0.33650000000000002</v>
      </c>
      <c r="N82" s="8">
        <f t="shared" si="23"/>
        <v>0.96473623853211021</v>
      </c>
      <c r="O82" s="8">
        <f t="shared" si="24"/>
        <v>0.9647362385321101</v>
      </c>
      <c r="P82" s="8">
        <v>737428</v>
      </c>
      <c r="Q82" s="8">
        <v>711423.51490825694</v>
      </c>
      <c r="R82" s="8">
        <v>684573.35550458706</v>
      </c>
      <c r="S82" s="8">
        <v>656877.52178899082</v>
      </c>
      <c r="T82" s="8">
        <v>628124.59518348624</v>
      </c>
      <c r="U82" s="8">
        <v>598525.99426605506</v>
      </c>
      <c r="V82" s="8">
        <v>568081.71903669718</v>
      </c>
      <c r="W82" s="8">
        <v>537003.18807339447</v>
      </c>
      <c r="X82" s="8">
        <v>505290.40137614676</v>
      </c>
      <c r="Y82" s="8">
        <v>472943.35894495418</v>
      </c>
      <c r="Z82" s="8">
        <v>440384.89793577982</v>
      </c>
      <c r="AA82" s="8">
        <v>407615.01834862388</v>
      </c>
      <c r="AB82" s="8">
        <v>374633.72018348624</v>
      </c>
      <c r="AC82" s="8">
        <v>342075.25917431194</v>
      </c>
      <c r="AD82" s="8">
        <v>309728.21674311924</v>
      </c>
      <c r="AE82" s="8">
        <v>278015.43004587159</v>
      </c>
      <c r="AF82" s="8">
        <v>247359.73623853212</v>
      </c>
      <c r="AG82" s="8">
        <v>217761.13532110091</v>
      </c>
      <c r="AH82" s="8">
        <v>189431.04587155965</v>
      </c>
      <c r="AI82" s="8">
        <v>162792.30504587156</v>
      </c>
      <c r="AJ82" s="8">
        <v>138056.33142201835</v>
      </c>
      <c r="AK82" s="8">
        <v>115434.54357798165</v>
      </c>
      <c r="AL82" s="8">
        <v>94926.941513761471</v>
      </c>
      <c r="AM82" s="8">
        <v>76744.943807339441</v>
      </c>
      <c r="AN82" s="8">
        <v>60888.550458715596</v>
      </c>
      <c r="AO82" s="8">
        <v>47146.342889908257</v>
      </c>
      <c r="AP82" s="8">
        <v>35729.739678899074</v>
      </c>
      <c r="AQ82" s="8">
        <v>26427.322247706423</v>
      </c>
      <c r="AR82" s="8">
        <v>19027.672018348625</v>
      </c>
      <c r="AS82" s="8">
        <v>13319.370412844037</v>
      </c>
      <c r="AT82" s="8">
        <v>8668.1616972477077</v>
      </c>
      <c r="AU82" s="8">
        <v>5496.8830275229357</v>
      </c>
      <c r="AV82" s="8">
        <v>2537.0229357798166</v>
      </c>
      <c r="AW82" s="8">
        <v>1057.0928899082569</v>
      </c>
      <c r="AX82" s="8">
        <v>634.25573394495416</v>
      </c>
      <c r="AY82" s="8">
        <v>211.4185779816514</v>
      </c>
      <c r="AZ82" s="8">
        <v>0</v>
      </c>
      <c r="BA82" s="8">
        <v>0</v>
      </c>
      <c r="BB82" s="8">
        <v>0</v>
      </c>
    </row>
    <row r="83" spans="3:54">
      <c r="C83" s="8">
        <f t="shared" si="19"/>
        <v>1723</v>
      </c>
      <c r="D83" s="8">
        <v>203664</v>
      </c>
      <c r="E83" s="8">
        <v>846716</v>
      </c>
      <c r="F83" s="8">
        <v>838743.25705794932</v>
      </c>
      <c r="G83" s="8">
        <v>792857.41456166422</v>
      </c>
      <c r="H83" s="8">
        <v>746035.12630014843</v>
      </c>
      <c r="I83" s="8">
        <f t="shared" si="20"/>
        <v>0.99058392313119081</v>
      </c>
      <c r="J83" s="8">
        <f t="shared" si="21"/>
        <v>0.93639120385307972</v>
      </c>
      <c r="K83" s="8">
        <f t="shared" si="22"/>
        <v>0.88109251071214956</v>
      </c>
      <c r="L83" s="8">
        <v>65</v>
      </c>
      <c r="M83" s="8">
        <v>0.32379999999999998</v>
      </c>
      <c r="N83" s="8">
        <f t="shared" si="23"/>
        <v>0.96225854383358089</v>
      </c>
      <c r="O83" s="8">
        <f t="shared" si="24"/>
        <v>0.96225854383358089</v>
      </c>
      <c r="P83" s="8">
        <v>1050380</v>
      </c>
      <c r="Q83" s="8">
        <v>1010737.1292719167</v>
      </c>
      <c r="R83" s="8">
        <v>969845.66419019306</v>
      </c>
      <c r="S83" s="8">
        <v>927393.45616641897</v>
      </c>
      <c r="T83" s="8">
        <v>883692.65378900454</v>
      </c>
      <c r="U83" s="8">
        <v>838743.25705794932</v>
      </c>
      <c r="V83" s="8">
        <v>792857.41456166422</v>
      </c>
      <c r="W83" s="8">
        <v>746035.12630014843</v>
      </c>
      <c r="X83" s="8">
        <v>698276.39227340266</v>
      </c>
      <c r="Y83" s="8">
        <v>650205.50965824665</v>
      </c>
      <c r="Z83" s="8">
        <v>601822.47845468053</v>
      </c>
      <c r="AA83" s="8">
        <v>553127.2986627043</v>
      </c>
      <c r="AB83" s="8">
        <v>505056.41604754823</v>
      </c>
      <c r="AC83" s="8">
        <v>457297.68202080228</v>
      </c>
      <c r="AD83" s="8">
        <v>410475.39375928673</v>
      </c>
      <c r="AE83" s="8">
        <v>365213.84843982168</v>
      </c>
      <c r="AF83" s="8">
        <v>321513.04606240708</v>
      </c>
      <c r="AG83" s="8">
        <v>279685.13521545316</v>
      </c>
      <c r="AH83" s="8">
        <v>240354.41307578006</v>
      </c>
      <c r="AI83" s="8">
        <v>203833.02823179791</v>
      </c>
      <c r="AJ83" s="8">
        <v>170433.12927191678</v>
      </c>
      <c r="AK83" s="8">
        <v>140154.71619613669</v>
      </c>
      <c r="AL83" s="8">
        <v>113309.93759286775</v>
      </c>
      <c r="AM83" s="8">
        <v>89898.793462109941</v>
      </c>
      <c r="AN83" s="8">
        <v>69609.135215453192</v>
      </c>
      <c r="AO83" s="8">
        <v>52753.11144130757</v>
      </c>
      <c r="AP83" s="8">
        <v>39018.573551262998</v>
      </c>
      <c r="AQ83" s="8">
        <v>28093.372956909359</v>
      </c>
      <c r="AR83" s="8">
        <v>19665.361069836552</v>
      </c>
      <c r="AS83" s="8">
        <v>12798.092124814264</v>
      </c>
      <c r="AT83" s="8">
        <v>8115.8632986627035</v>
      </c>
      <c r="AU83" s="8">
        <v>3745.7830609212474</v>
      </c>
      <c r="AV83" s="8">
        <v>1560.74294205052</v>
      </c>
      <c r="AW83" s="8">
        <v>936.44576523031185</v>
      </c>
      <c r="AX83" s="8">
        <v>312.14858841010403</v>
      </c>
      <c r="AY83" s="8">
        <v>0</v>
      </c>
      <c r="AZ83" s="8">
        <v>0</v>
      </c>
      <c r="BA83" s="8">
        <v>0</v>
      </c>
      <c r="BB83" s="8">
        <v>0</v>
      </c>
    </row>
    <row r="84" spans="3:54">
      <c r="C84" s="8">
        <f t="shared" si="19"/>
        <v>1722</v>
      </c>
      <c r="D84" s="8">
        <v>126034</v>
      </c>
      <c r="E84" s="8">
        <v>638618</v>
      </c>
      <c r="F84" s="8">
        <v>599819.66646077833</v>
      </c>
      <c r="G84" s="8">
        <v>564397.24521309452</v>
      </c>
      <c r="H84" s="8">
        <v>528266.3755404572</v>
      </c>
      <c r="I84" s="8">
        <f t="shared" si="20"/>
        <v>0.93924641407034926</v>
      </c>
      <c r="J84" s="8">
        <f t="shared" si="21"/>
        <v>0.88377910615280886</v>
      </c>
      <c r="K84" s="8">
        <f t="shared" si="22"/>
        <v>0.827202452076918</v>
      </c>
      <c r="L84" s="8">
        <v>66</v>
      </c>
      <c r="M84" s="8">
        <v>0.31069999999999998</v>
      </c>
      <c r="N84" s="8">
        <f t="shared" si="23"/>
        <v>0.95954292773316863</v>
      </c>
      <c r="O84" s="8">
        <f t="shared" si="24"/>
        <v>0.95954292773316863</v>
      </c>
      <c r="P84" s="8">
        <v>764652</v>
      </c>
      <c r="Q84" s="8">
        <v>733716.41877702286</v>
      </c>
      <c r="R84" s="8">
        <v>701600.09017912287</v>
      </c>
      <c r="S84" s="8">
        <v>668539.16368128487</v>
      </c>
      <c r="T84" s="8">
        <v>634533.6392835083</v>
      </c>
      <c r="U84" s="8">
        <v>599819.66646077833</v>
      </c>
      <c r="V84" s="8">
        <v>564397.24521309452</v>
      </c>
      <c r="W84" s="8">
        <v>528266.3755404572</v>
      </c>
      <c r="X84" s="8">
        <v>491899.35639283509</v>
      </c>
      <c r="Y84" s="8">
        <v>455296.18777022854</v>
      </c>
      <c r="Z84" s="8">
        <v>418456.86967263743</v>
      </c>
      <c r="AA84" s="8">
        <v>382089.85052501544</v>
      </c>
      <c r="AB84" s="8">
        <v>345958.98085237801</v>
      </c>
      <c r="AC84" s="8">
        <v>310536.55960469425</v>
      </c>
      <c r="AD84" s="8">
        <v>276294.88573193329</v>
      </c>
      <c r="AE84" s="8">
        <v>243233.95923409515</v>
      </c>
      <c r="AF84" s="8">
        <v>211589.9295861643</v>
      </c>
      <c r="AG84" s="8">
        <v>181835.09573810996</v>
      </c>
      <c r="AH84" s="8">
        <v>154205.60716491664</v>
      </c>
      <c r="AI84" s="8">
        <v>128937.6133415689</v>
      </c>
      <c r="AJ84" s="8">
        <v>106031.11426806673</v>
      </c>
      <c r="AK84" s="8">
        <v>85722.259419394686</v>
      </c>
      <c r="AL84" s="8">
        <v>68011.048795552808</v>
      </c>
      <c r="AM84" s="8">
        <v>52661.332921556525</v>
      </c>
      <c r="AN84" s="8">
        <v>39909.261272390366</v>
      </c>
      <c r="AO84" s="8">
        <v>29518.684373069798</v>
      </c>
      <c r="AP84" s="8">
        <v>21253.452748610252</v>
      </c>
      <c r="AQ84" s="8">
        <v>14877.416924027179</v>
      </c>
      <c r="AR84" s="8">
        <v>9682.1284743668948</v>
      </c>
      <c r="AS84" s="8">
        <v>6139.8863495985179</v>
      </c>
      <c r="AT84" s="8">
        <v>2833.7936998147002</v>
      </c>
      <c r="AU84" s="8">
        <v>1180.747374922792</v>
      </c>
      <c r="AV84" s="8">
        <v>708.44842495367504</v>
      </c>
      <c r="AW84" s="8">
        <v>236.14947498455842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</row>
    <row r="85" spans="3:54">
      <c r="C85" s="8">
        <f t="shared" si="19"/>
        <v>1721</v>
      </c>
      <c r="D85" s="8">
        <v>118371</v>
      </c>
      <c r="E85" s="8">
        <v>585403</v>
      </c>
      <c r="F85" s="8">
        <v>541364.61538461549</v>
      </c>
      <c r="G85" s="8">
        <v>506708.21950434503</v>
      </c>
      <c r="H85" s="8">
        <v>471825.31123270048</v>
      </c>
      <c r="I85" s="8">
        <f t="shared" si="20"/>
        <v>0.92477253342503452</v>
      </c>
      <c r="J85" s="8">
        <f t="shared" si="21"/>
        <v>0.86557161392125603</v>
      </c>
      <c r="K85" s="8">
        <f t="shared" si="22"/>
        <v>0.80598376030307406</v>
      </c>
      <c r="L85" s="8">
        <v>67</v>
      </c>
      <c r="M85" s="8">
        <v>0.29709999999999998</v>
      </c>
      <c r="N85" s="8">
        <f t="shared" si="23"/>
        <v>0.95622787254586428</v>
      </c>
      <c r="O85" s="8">
        <f t="shared" si="24"/>
        <v>0.95622787254586417</v>
      </c>
      <c r="P85" s="8">
        <v>703774</v>
      </c>
      <c r="Q85" s="8">
        <v>672968.31477309309</v>
      </c>
      <c r="R85" s="8">
        <v>641256.57998068887</v>
      </c>
      <c r="S85" s="8">
        <v>608638.79562278721</v>
      </c>
      <c r="T85" s="8">
        <v>575341.47409076279</v>
      </c>
      <c r="U85" s="8">
        <v>541364.61538461549</v>
      </c>
      <c r="V85" s="8">
        <v>506708.21950434503</v>
      </c>
      <c r="W85" s="8">
        <v>471825.31123270048</v>
      </c>
      <c r="X85" s="8">
        <v>436715.89056968136</v>
      </c>
      <c r="Y85" s="8">
        <v>401379.95751528809</v>
      </c>
      <c r="Z85" s="8">
        <v>366497.04924364341</v>
      </c>
      <c r="AA85" s="8">
        <v>331840.65336337301</v>
      </c>
      <c r="AB85" s="8">
        <v>297863.79465722566</v>
      </c>
      <c r="AC85" s="8">
        <v>265019.49790794984</v>
      </c>
      <c r="AD85" s="8">
        <v>233307.76311554553</v>
      </c>
      <c r="AE85" s="8">
        <v>202955.1026713872</v>
      </c>
      <c r="AF85" s="8">
        <v>174414.54135822336</v>
      </c>
      <c r="AG85" s="8">
        <v>147912.5915674284</v>
      </c>
      <c r="AH85" s="8">
        <v>123675.76569037659</v>
      </c>
      <c r="AI85" s="8">
        <v>101704.06372706791</v>
      </c>
      <c r="AJ85" s="8">
        <v>82223.998068876725</v>
      </c>
      <c r="AK85" s="8">
        <v>65235.568715803034</v>
      </c>
      <c r="AL85" s="8">
        <v>50512.263276472484</v>
      </c>
      <c r="AM85" s="8">
        <v>38280.594142259411</v>
      </c>
      <c r="AN85" s="8">
        <v>28314.048921789512</v>
      </c>
      <c r="AO85" s="8">
        <v>20386.115223688445</v>
      </c>
      <c r="AP85" s="8">
        <v>14270.280656581914</v>
      </c>
      <c r="AQ85" s="8">
        <v>9287.0080463469603</v>
      </c>
      <c r="AR85" s="8">
        <v>5889.3221757322181</v>
      </c>
      <c r="AS85" s="8">
        <v>2718.1486964917926</v>
      </c>
      <c r="AT85" s="8">
        <v>1132.5619568715804</v>
      </c>
      <c r="AU85" s="8">
        <v>679.53717412294816</v>
      </c>
      <c r="AV85" s="8">
        <v>226.51239137431611</v>
      </c>
      <c r="AW85" s="8">
        <v>0</v>
      </c>
    </row>
    <row r="86" spans="3:54">
      <c r="C86" s="8">
        <f t="shared" si="19"/>
        <v>1720</v>
      </c>
      <c r="D86" s="8">
        <v>119286</v>
      </c>
      <c r="E86" s="8">
        <v>620897</v>
      </c>
      <c r="F86" s="8">
        <v>557317.1898350725</v>
      </c>
      <c r="G86" s="8">
        <v>518950.24873779877</v>
      </c>
      <c r="H86" s="8">
        <v>480334.17165937397</v>
      </c>
      <c r="I86" s="8">
        <f t="shared" si="20"/>
        <v>0.89760006866690045</v>
      </c>
      <c r="J86" s="8">
        <f t="shared" si="21"/>
        <v>0.83580730578147222</v>
      </c>
      <c r="K86" s="8">
        <f t="shared" si="22"/>
        <v>0.77361329118899591</v>
      </c>
      <c r="L86" s="8">
        <v>68</v>
      </c>
      <c r="M86" s="8">
        <v>0.28310000000000002</v>
      </c>
      <c r="N86" s="8">
        <f t="shared" si="23"/>
        <v>0.95287781891619006</v>
      </c>
      <c r="O86" s="8">
        <f t="shared" si="24"/>
        <v>0.95287781891618994</v>
      </c>
      <c r="P86" s="8">
        <v>740183</v>
      </c>
      <c r="Q86" s="8">
        <v>705303.96263884229</v>
      </c>
      <c r="R86" s="8">
        <v>669428.38135307981</v>
      </c>
      <c r="S86" s="8">
        <v>632805.39212386403</v>
      </c>
      <c r="T86" s="8">
        <v>595434.99495119497</v>
      </c>
      <c r="U86" s="8">
        <v>557317.1898350725</v>
      </c>
      <c r="V86" s="8">
        <v>518950.24873779877</v>
      </c>
      <c r="W86" s="8">
        <v>480334.17165937397</v>
      </c>
      <c r="X86" s="8">
        <v>441468.95859979809</v>
      </c>
      <c r="Y86" s="8">
        <v>403102.01750252442</v>
      </c>
      <c r="Z86" s="8">
        <v>364984.21238640189</v>
      </c>
      <c r="AA86" s="8">
        <v>327613.81521373283</v>
      </c>
      <c r="AB86" s="8">
        <v>291489.09794681927</v>
      </c>
      <c r="AC86" s="8">
        <v>256610.06058566141</v>
      </c>
      <c r="AD86" s="8">
        <v>223225.83911141031</v>
      </c>
      <c r="AE86" s="8">
        <v>191834.70548636824</v>
      </c>
      <c r="AF86" s="8">
        <v>162685.7956916863</v>
      </c>
      <c r="AG86" s="8">
        <v>136028.24570851566</v>
      </c>
      <c r="AH86" s="8">
        <v>111862.05553685631</v>
      </c>
      <c r="AI86" s="8">
        <v>90436.361157859312</v>
      </c>
      <c r="AJ86" s="8">
        <v>71751.162571524736</v>
      </c>
      <c r="AK86" s="8">
        <v>55557.323796701457</v>
      </c>
      <c r="AL86" s="8">
        <v>42103.980814540562</v>
      </c>
      <c r="AM86" s="8">
        <v>31141.997643890951</v>
      </c>
      <c r="AN86" s="8">
        <v>22422.238303601483</v>
      </c>
      <c r="AO86" s="8">
        <v>15695.566812521038</v>
      </c>
      <c r="AP86" s="8">
        <v>10214.575227196232</v>
      </c>
      <c r="AQ86" s="8">
        <v>6477.5355099293174</v>
      </c>
      <c r="AR86" s="8">
        <v>2989.6317738135308</v>
      </c>
      <c r="AS86" s="8">
        <v>1245.6799057556379</v>
      </c>
      <c r="AT86" s="8">
        <v>747.4079434533827</v>
      </c>
      <c r="AU86" s="8">
        <v>249.13598115112762</v>
      </c>
      <c r="AV86" s="8">
        <v>0</v>
      </c>
      <c r="AW86" s="8">
        <v>0</v>
      </c>
    </row>
    <row r="87" spans="3:54">
      <c r="C87" s="8">
        <f t="shared" si="19"/>
        <v>1719</v>
      </c>
      <c r="D87" s="8">
        <v>126316</v>
      </c>
      <c r="E87" s="8">
        <v>459776</v>
      </c>
      <c r="F87" s="8">
        <v>431236.18368067819</v>
      </c>
      <c r="G87" s="8">
        <v>399147.07735782408</v>
      </c>
      <c r="H87" s="8">
        <v>366850.94454256445</v>
      </c>
      <c r="I87" s="8">
        <f t="shared" si="20"/>
        <v>0.93792669404379136</v>
      </c>
      <c r="J87" s="8">
        <f t="shared" si="21"/>
        <v>0.86813378114086881</v>
      </c>
      <c r="K87" s="8">
        <f t="shared" si="22"/>
        <v>0.797890591380508</v>
      </c>
      <c r="L87" s="8">
        <v>69</v>
      </c>
      <c r="M87" s="8">
        <v>0.26869999999999999</v>
      </c>
      <c r="N87" s="8">
        <f t="shared" si="23"/>
        <v>0.94913458141999285</v>
      </c>
      <c r="O87" s="8">
        <f t="shared" si="24"/>
        <v>0.94913458141999285</v>
      </c>
      <c r="P87" s="8">
        <v>586092</v>
      </c>
      <c r="Q87" s="8">
        <v>556280.18509360647</v>
      </c>
      <c r="R87" s="8">
        <v>525847.29070999636</v>
      </c>
      <c r="S87" s="8">
        <v>494793.31684916979</v>
      </c>
      <c r="T87" s="8">
        <v>463118.26351112686</v>
      </c>
      <c r="U87" s="8">
        <v>431236.18368067819</v>
      </c>
      <c r="V87" s="8">
        <v>399147.07735782408</v>
      </c>
      <c r="W87" s="8">
        <v>366850.94454256445</v>
      </c>
      <c r="X87" s="8">
        <v>334968.86471211584</v>
      </c>
      <c r="Y87" s="8">
        <v>303293.81137407268</v>
      </c>
      <c r="Z87" s="8">
        <v>272239.83751324617</v>
      </c>
      <c r="AA87" s="8">
        <v>242220.99611444722</v>
      </c>
      <c r="AB87" s="8">
        <v>213237.28717767569</v>
      </c>
      <c r="AC87" s="8">
        <v>185495.73719533734</v>
      </c>
      <c r="AD87" s="8">
        <v>159410.39915224302</v>
      </c>
      <c r="AE87" s="8">
        <v>135188.2995407983</v>
      </c>
      <c r="AF87" s="8">
        <v>113036.46485340869</v>
      </c>
      <c r="AG87" s="8">
        <v>92954.895090074177</v>
      </c>
      <c r="AH87" s="8">
        <v>75150.616743200269</v>
      </c>
      <c r="AI87" s="8">
        <v>59623.629812786996</v>
      </c>
      <c r="AJ87" s="8">
        <v>46166.907806428819</v>
      </c>
      <c r="AK87" s="8">
        <v>34987.477216531261</v>
      </c>
      <c r="AL87" s="8">
        <v>25878.311550688803</v>
      </c>
      <c r="AM87" s="8">
        <v>18632.384316495936</v>
      </c>
      <c r="AN87" s="8">
        <v>13042.669021547157</v>
      </c>
      <c r="AO87" s="8">
        <v>8488.0861886259281</v>
      </c>
      <c r="AP87" s="8">
        <v>5382.68880254327</v>
      </c>
      <c r="AQ87" s="8">
        <v>2484.3179088661245</v>
      </c>
      <c r="AR87" s="8">
        <v>1035.132462027552</v>
      </c>
      <c r="AS87" s="8">
        <v>621.07947721653113</v>
      </c>
      <c r="AT87" s="8">
        <v>207.02649240551042</v>
      </c>
      <c r="AU87" s="8">
        <v>0</v>
      </c>
      <c r="AV87" s="8">
        <v>0</v>
      </c>
      <c r="AW87" s="8">
        <v>0</v>
      </c>
    </row>
    <row r="88" spans="3:54">
      <c r="C88" s="8">
        <f t="shared" si="19"/>
        <v>1718</v>
      </c>
      <c r="D88" s="8">
        <v>76216</v>
      </c>
      <c r="E88" s="8">
        <v>460607</v>
      </c>
      <c r="F88" s="8">
        <v>385185.98585783405</v>
      </c>
      <c r="G88" s="8">
        <v>354019.48492742836</v>
      </c>
      <c r="H88" s="8">
        <v>323252.5545217715</v>
      </c>
      <c r="I88" s="8">
        <f t="shared" si="20"/>
        <v>0.8362573427191381</v>
      </c>
      <c r="J88" s="8">
        <f t="shared" si="21"/>
        <v>0.76859336685597124</v>
      </c>
      <c r="K88" s="8">
        <f t="shared" si="22"/>
        <v>0.70179687786284506</v>
      </c>
      <c r="L88" s="8">
        <v>70</v>
      </c>
      <c r="M88" s="8">
        <v>0.254</v>
      </c>
      <c r="N88" s="8">
        <f t="shared" si="23"/>
        <v>0.94529214737625622</v>
      </c>
      <c r="O88" s="8">
        <f t="shared" si="24"/>
        <v>0.94529214737625611</v>
      </c>
      <c r="P88" s="8">
        <v>536823</v>
      </c>
      <c r="Q88" s="8">
        <v>507454.56643096398</v>
      </c>
      <c r="R88" s="8">
        <v>477486.77707480465</v>
      </c>
      <c r="S88" s="8">
        <v>446919.63193152222</v>
      </c>
      <c r="T88" s="8">
        <v>416152.7015258653</v>
      </c>
      <c r="U88" s="8">
        <v>385185.98585783405</v>
      </c>
      <c r="V88" s="8">
        <v>354019.48492742836</v>
      </c>
      <c r="W88" s="8">
        <v>323252.5545217715</v>
      </c>
      <c r="X88" s="8">
        <v>292685.40937848901</v>
      </c>
      <c r="Y88" s="8">
        <v>262717.62002232973</v>
      </c>
      <c r="Z88" s="8">
        <v>233748.75697804245</v>
      </c>
      <c r="AA88" s="8">
        <v>205778.82024562711</v>
      </c>
      <c r="AB88" s="8">
        <v>179007.59508745815</v>
      </c>
      <c r="AC88" s="8">
        <v>153834.65202828433</v>
      </c>
      <c r="AD88" s="8">
        <v>130459.77633048008</v>
      </c>
      <c r="AE88" s="8">
        <v>109082.7532564198</v>
      </c>
      <c r="AF88" s="8">
        <v>89703.58280610347</v>
      </c>
      <c r="AG88" s="8">
        <v>72522.050241905468</v>
      </c>
      <c r="AH88" s="8">
        <v>57538.155563825829</v>
      </c>
      <c r="AI88" s="8">
        <v>44552.11350949014</v>
      </c>
      <c r="AJ88" s="8">
        <v>33763.709341272792</v>
      </c>
      <c r="AK88" s="8">
        <v>24973.157796799405</v>
      </c>
      <c r="AL88" s="8">
        <v>17980.67361369557</v>
      </c>
      <c r="AM88" s="8">
        <v>12586.471529586899</v>
      </c>
      <c r="AN88" s="8">
        <v>8191.1957573502059</v>
      </c>
      <c r="AO88" s="8">
        <v>5194.4168217342758</v>
      </c>
      <c r="AP88" s="8">
        <v>2397.4231484927427</v>
      </c>
      <c r="AQ88" s="8">
        <v>998.92631187197617</v>
      </c>
      <c r="AR88" s="8">
        <v>599.35578712318568</v>
      </c>
      <c r="AS88" s="8">
        <v>199.78526237439527</v>
      </c>
    </row>
    <row r="89" spans="3:54">
      <c r="C89" s="8">
        <f t="shared" si="19"/>
        <v>1717</v>
      </c>
      <c r="D89" s="8">
        <v>101156</v>
      </c>
      <c r="E89" s="8">
        <v>548785</v>
      </c>
      <c r="F89" s="8">
        <v>453423.40629921254</v>
      </c>
      <c r="G89" s="8">
        <v>414017.53464566928</v>
      </c>
      <c r="H89" s="8">
        <v>374867.5452755905</v>
      </c>
      <c r="I89" s="8">
        <f t="shared" si="20"/>
        <v>0.82623141357583119</v>
      </c>
      <c r="J89" s="8">
        <f t="shared" si="21"/>
        <v>0.75442574896483916</v>
      </c>
      <c r="K89" s="8">
        <f t="shared" si="22"/>
        <v>0.68308635490326908</v>
      </c>
      <c r="L89" s="8">
        <v>71</v>
      </c>
      <c r="M89" s="8">
        <v>0.23899999999999999</v>
      </c>
      <c r="N89" s="8">
        <f t="shared" si="23"/>
        <v>0.94094488188976377</v>
      </c>
      <c r="O89" s="8">
        <f t="shared" si="24"/>
        <v>0.94094488188976377</v>
      </c>
      <c r="P89" s="8">
        <v>649941</v>
      </c>
      <c r="Q89" s="8">
        <v>611558.65748031496</v>
      </c>
      <c r="R89" s="8">
        <v>572408.66811023629</v>
      </c>
      <c r="S89" s="8">
        <v>533002.79645669297</v>
      </c>
      <c r="T89" s="8">
        <v>493341.04251968506</v>
      </c>
      <c r="U89" s="8">
        <v>453423.40629921254</v>
      </c>
      <c r="V89" s="8">
        <v>414017.53464566928</v>
      </c>
      <c r="W89" s="8">
        <v>374867.5452755905</v>
      </c>
      <c r="X89" s="8">
        <v>336485.20275590551</v>
      </c>
      <c r="Y89" s="8">
        <v>299382.27165354334</v>
      </c>
      <c r="Z89" s="8">
        <v>263558.75196850393</v>
      </c>
      <c r="AA89" s="8">
        <v>229270.52598425199</v>
      </c>
      <c r="AB89" s="8">
        <v>197029.35826771654</v>
      </c>
      <c r="AC89" s="8">
        <v>167091.13110236218</v>
      </c>
      <c r="AD89" s="8">
        <v>139711.72677165357</v>
      </c>
      <c r="AE89" s="8">
        <v>114891.14527559055</v>
      </c>
      <c r="AF89" s="8">
        <v>92885.268897637798</v>
      </c>
      <c r="AG89" s="8">
        <v>73694.097637795276</v>
      </c>
      <c r="AH89" s="8">
        <v>57061.749212598428</v>
      </c>
      <c r="AI89" s="8">
        <v>43244.105905511809</v>
      </c>
      <c r="AJ89" s="8">
        <v>31985.285433070869</v>
      </c>
      <c r="AK89" s="8">
        <v>23029.405511811019</v>
      </c>
      <c r="AL89" s="8">
        <v>16120.583858267715</v>
      </c>
      <c r="AM89" s="8">
        <v>10491.173622047245</v>
      </c>
      <c r="AN89" s="8">
        <v>6652.9393700787396</v>
      </c>
      <c r="AO89" s="8">
        <v>3070.5874015748027</v>
      </c>
      <c r="AP89" s="8">
        <v>1279.4114173228347</v>
      </c>
      <c r="AQ89" s="8">
        <v>767.64685039370067</v>
      </c>
      <c r="AR89" s="8">
        <v>255.88228346456694</v>
      </c>
      <c r="AS89" s="8">
        <v>0</v>
      </c>
    </row>
    <row r="90" spans="3:54">
      <c r="C90" s="8">
        <f t="shared" si="19"/>
        <v>1716</v>
      </c>
      <c r="D90" s="8">
        <v>120989</v>
      </c>
      <c r="E90" s="8">
        <v>384880</v>
      </c>
      <c r="F90" s="8">
        <v>342466.96317991632</v>
      </c>
      <c r="G90" s="8">
        <v>310082.8807531381</v>
      </c>
      <c r="H90" s="8">
        <v>278333.78033472801</v>
      </c>
      <c r="I90" s="8">
        <f t="shared" si="20"/>
        <v>0.88980192054644647</v>
      </c>
      <c r="J90" s="8">
        <f t="shared" si="21"/>
        <v>0.80566119505596057</v>
      </c>
      <c r="K90" s="8">
        <f t="shared" si="22"/>
        <v>0.7231702877123467</v>
      </c>
      <c r="L90" s="8">
        <v>72</v>
      </c>
      <c r="M90" s="8">
        <v>0.22370000000000001</v>
      </c>
      <c r="N90" s="8">
        <f t="shared" si="23"/>
        <v>0.9359832635983264</v>
      </c>
      <c r="O90" s="8">
        <f t="shared" si="24"/>
        <v>0.9359832635983264</v>
      </c>
      <c r="P90" s="8">
        <v>505869</v>
      </c>
      <c r="Q90" s="8">
        <v>473484.91757322178</v>
      </c>
      <c r="R90" s="8">
        <v>440889.17447698751</v>
      </c>
      <c r="S90" s="8">
        <v>408081.77071129711</v>
      </c>
      <c r="T90" s="8">
        <v>375062.70627615065</v>
      </c>
      <c r="U90" s="8">
        <v>342466.96317991632</v>
      </c>
      <c r="V90" s="8">
        <v>310082.8807531381</v>
      </c>
      <c r="W90" s="8">
        <v>278333.78033472801</v>
      </c>
      <c r="X90" s="8">
        <v>247642.98326359835</v>
      </c>
      <c r="Y90" s="8">
        <v>218010.48953974896</v>
      </c>
      <c r="Z90" s="8">
        <v>189647.95983263597</v>
      </c>
      <c r="AA90" s="8">
        <v>162978.71548117156</v>
      </c>
      <c r="AB90" s="8">
        <v>138214.4171548117</v>
      </c>
      <c r="AC90" s="8">
        <v>115566.72552301256</v>
      </c>
      <c r="AD90" s="8">
        <v>95035.640585774061</v>
      </c>
      <c r="AE90" s="8">
        <v>76832.823012552297</v>
      </c>
      <c r="AF90" s="8">
        <v>60958.272803347281</v>
      </c>
      <c r="AG90" s="8">
        <v>47200.329288702931</v>
      </c>
      <c r="AH90" s="8">
        <v>35770.653138075308</v>
      </c>
      <c r="AI90" s="8">
        <v>26457.583682008371</v>
      </c>
      <c r="AJ90" s="8">
        <v>19049.460251046024</v>
      </c>
      <c r="AK90" s="8">
        <v>13334.622175732218</v>
      </c>
      <c r="AL90" s="8">
        <v>8678.0874476987465</v>
      </c>
      <c r="AM90" s="8">
        <v>5503.1774058577403</v>
      </c>
      <c r="AN90" s="8">
        <v>2539.9280334728032</v>
      </c>
      <c r="AO90" s="8">
        <v>1058.3033472803347</v>
      </c>
      <c r="AP90" s="8">
        <v>634.98200836820081</v>
      </c>
      <c r="AQ90" s="8">
        <v>211.66066945606696</v>
      </c>
      <c r="AR90" s="8">
        <v>0</v>
      </c>
      <c r="AS90" s="8">
        <v>0</v>
      </c>
    </row>
    <row r="91" spans="3:54">
      <c r="C91" s="8">
        <f t="shared" si="19"/>
        <v>1715</v>
      </c>
      <c r="D91" s="8">
        <v>105681</v>
      </c>
      <c r="E91" s="8">
        <v>664228</v>
      </c>
      <c r="F91" s="8">
        <v>504209.51497541351</v>
      </c>
      <c r="G91" s="8">
        <v>452583.96736700938</v>
      </c>
      <c r="H91" s="8">
        <v>402679.27134555206</v>
      </c>
      <c r="I91" s="8">
        <f t="shared" si="20"/>
        <v>0.75909102744150125</v>
      </c>
      <c r="J91" s="8">
        <f t="shared" si="21"/>
        <v>0.68136839664544313</v>
      </c>
      <c r="K91" s="8">
        <f t="shared" si="22"/>
        <v>0.60623652020925356</v>
      </c>
      <c r="L91" s="8">
        <v>73</v>
      </c>
      <c r="M91" s="8">
        <v>0.20830000000000001</v>
      </c>
      <c r="N91" s="8">
        <f t="shared" si="23"/>
        <v>0.93115780062583808</v>
      </c>
      <c r="O91" s="8">
        <f t="shared" si="24"/>
        <v>0.93115780062583819</v>
      </c>
      <c r="P91" s="8">
        <v>769909</v>
      </c>
      <c r="Q91" s="8">
        <v>716906.77112203836</v>
      </c>
      <c r="R91" s="8">
        <v>663560.37192668754</v>
      </c>
      <c r="S91" s="8">
        <v>609869.80241394718</v>
      </c>
      <c r="T91" s="8">
        <v>556867.57353598566</v>
      </c>
      <c r="U91" s="8">
        <v>504209.51497541351</v>
      </c>
      <c r="V91" s="8">
        <v>452583.96736700938</v>
      </c>
      <c r="W91" s="8">
        <v>402679.27134555206</v>
      </c>
      <c r="X91" s="8">
        <v>354495.42691104155</v>
      </c>
      <c r="Y91" s="8">
        <v>308376.60438086721</v>
      </c>
      <c r="Z91" s="8">
        <v>265011.14438980777</v>
      </c>
      <c r="AA91" s="8">
        <v>224743.21725525256</v>
      </c>
      <c r="AB91" s="8">
        <v>187916.99329459097</v>
      </c>
      <c r="AC91" s="8">
        <v>154532.47250782297</v>
      </c>
      <c r="AD91" s="8">
        <v>124933.82521233795</v>
      </c>
      <c r="AE91" s="8">
        <v>99121.051408135885</v>
      </c>
      <c r="AF91" s="8">
        <v>76749.980777827455</v>
      </c>
      <c r="AG91" s="8">
        <v>58164.783638801957</v>
      </c>
      <c r="AH91" s="8">
        <v>43021.2896736701</v>
      </c>
      <c r="AI91" s="8">
        <v>30975.328565042466</v>
      </c>
      <c r="AJ91" s="8">
        <v>21682.729995529728</v>
      </c>
      <c r="AK91" s="8">
        <v>14110.98301296379</v>
      </c>
      <c r="AL91" s="8">
        <v>8948.4282521233781</v>
      </c>
      <c r="AM91" s="8">
        <v>4130.0438086723279</v>
      </c>
      <c r="AN91" s="8">
        <v>1720.8515869468038</v>
      </c>
      <c r="AO91" s="8">
        <v>1032.510952168082</v>
      </c>
      <c r="AP91" s="8">
        <v>344.17031738936078</v>
      </c>
      <c r="AQ91" s="8">
        <v>0</v>
      </c>
      <c r="AR91" s="8">
        <v>0</v>
      </c>
      <c r="AS91" s="8">
        <v>0</v>
      </c>
    </row>
    <row r="92" spans="3:54">
      <c r="C92" s="8">
        <f t="shared" si="19"/>
        <v>1714</v>
      </c>
      <c r="D92" s="8">
        <v>128009</v>
      </c>
      <c r="E92" s="8">
        <v>377144</v>
      </c>
      <c r="F92" s="8">
        <v>318903.59817570809</v>
      </c>
      <c r="G92" s="8">
        <v>283739.32309169468</v>
      </c>
      <c r="H92" s="8">
        <v>249787.60921747476</v>
      </c>
      <c r="I92" s="8">
        <f t="shared" si="20"/>
        <v>0.8455751600866197</v>
      </c>
      <c r="J92" s="8">
        <f t="shared" si="21"/>
        <v>0.75233683444969213</v>
      </c>
      <c r="K92" s="8">
        <f t="shared" si="22"/>
        <v>0.66231362348989975</v>
      </c>
      <c r="L92" s="8">
        <v>74</v>
      </c>
      <c r="M92" s="8">
        <v>0.1928</v>
      </c>
      <c r="N92" s="8">
        <f t="shared" si="23"/>
        <v>0.92558809409505505</v>
      </c>
      <c r="O92" s="8">
        <f t="shared" si="24"/>
        <v>0.92558809409505516</v>
      </c>
      <c r="P92" s="8">
        <v>505153</v>
      </c>
      <c r="Q92" s="8">
        <v>467563.60249639937</v>
      </c>
      <c r="R92" s="8">
        <v>429731.6927508401</v>
      </c>
      <c r="S92" s="8">
        <v>392384.80748919823</v>
      </c>
      <c r="T92" s="8">
        <v>355280.43446951511</v>
      </c>
      <c r="U92" s="8">
        <v>318903.59817570809</v>
      </c>
      <c r="V92" s="8">
        <v>283739.32309169468</v>
      </c>
      <c r="W92" s="8">
        <v>249787.60921747476</v>
      </c>
      <c r="X92" s="8">
        <v>217290.96879500718</v>
      </c>
      <c r="Y92" s="8">
        <v>186734.42630820931</v>
      </c>
      <c r="Z92" s="8">
        <v>158360.49399903981</v>
      </c>
      <c r="AA92" s="8">
        <v>132411.68410945751</v>
      </c>
      <c r="AB92" s="8">
        <v>108887.99663946232</v>
      </c>
      <c r="AC92" s="8">
        <v>88031.943831012948</v>
      </c>
      <c r="AD92" s="8">
        <v>69843.525684109452</v>
      </c>
      <c r="AE92" s="8">
        <v>54080.22995679309</v>
      </c>
      <c r="AF92" s="8">
        <v>40984.568891022558</v>
      </c>
      <c r="AG92" s="8">
        <v>30314.030244839174</v>
      </c>
      <c r="AH92" s="8">
        <v>21826.101776284202</v>
      </c>
      <c r="AI92" s="8">
        <v>15278.271243398944</v>
      </c>
      <c r="AJ92" s="8">
        <v>9943.0019203072497</v>
      </c>
      <c r="AK92" s="8">
        <v>6305.3182909265479</v>
      </c>
      <c r="AL92" s="8">
        <v>2910.1469035045602</v>
      </c>
      <c r="AM92" s="8">
        <v>1212.5612097935668</v>
      </c>
      <c r="AN92" s="8">
        <v>727.53672587614005</v>
      </c>
      <c r="AO92" s="8">
        <v>242.51224195871339</v>
      </c>
    </row>
    <row r="93" spans="3:54">
      <c r="C93" s="8">
        <f t="shared" si="19"/>
        <v>1713</v>
      </c>
      <c r="D93" s="8">
        <v>98338</v>
      </c>
      <c r="E93" s="8">
        <v>227595</v>
      </c>
      <c r="F93" s="8">
        <v>197791.29149377593</v>
      </c>
      <c r="G93" s="8">
        <v>174123.95746887964</v>
      </c>
      <c r="H93" s="8">
        <v>151470.93775933608</v>
      </c>
      <c r="I93" s="8">
        <f t="shared" si="20"/>
        <v>0.86904937056515275</v>
      </c>
      <c r="J93" s="8">
        <f t="shared" si="21"/>
        <v>0.76506055699325404</v>
      </c>
      <c r="K93" s="8">
        <f t="shared" si="22"/>
        <v>0.66552840686015102</v>
      </c>
      <c r="L93" s="8">
        <v>75</v>
      </c>
      <c r="M93" s="8">
        <v>0.1772</v>
      </c>
      <c r="N93" s="8">
        <f t="shared" si="23"/>
        <v>0.91908713692946042</v>
      </c>
      <c r="O93" s="8">
        <f t="shared" si="24"/>
        <v>0.91908713692946054</v>
      </c>
      <c r="P93" s="8">
        <v>325933</v>
      </c>
      <c r="Q93" s="8">
        <v>299560.82780082984</v>
      </c>
      <c r="R93" s="8">
        <v>273526.76037344401</v>
      </c>
      <c r="S93" s="8">
        <v>247661.74533195019</v>
      </c>
      <c r="T93" s="8">
        <v>222303.88744813279</v>
      </c>
      <c r="U93" s="8">
        <v>197791.29149377593</v>
      </c>
      <c r="V93" s="8">
        <v>174123.95746887964</v>
      </c>
      <c r="W93" s="8">
        <v>151470.93775933608</v>
      </c>
      <c r="X93" s="8">
        <v>130170.33713692946</v>
      </c>
      <c r="Y93" s="8">
        <v>110391.20798755185</v>
      </c>
      <c r="Z93" s="8">
        <v>92302.602697095441</v>
      </c>
      <c r="AA93" s="8">
        <v>75904.521265560164</v>
      </c>
      <c r="AB93" s="8">
        <v>61366.016078838176</v>
      </c>
      <c r="AC93" s="8">
        <v>48687.087136929462</v>
      </c>
      <c r="AD93" s="8">
        <v>37698.682053941913</v>
      </c>
      <c r="AE93" s="8">
        <v>28569.853215767631</v>
      </c>
      <c r="AF93" s="8">
        <v>21131.548236514525</v>
      </c>
      <c r="AG93" s="8">
        <v>15214.714730290456</v>
      </c>
      <c r="AH93" s="8">
        <v>10650.300311203318</v>
      </c>
      <c r="AI93" s="8">
        <v>6931.1478215767647</v>
      </c>
      <c r="AJ93" s="8">
        <v>4395.3620331950206</v>
      </c>
      <c r="AK93" s="8">
        <v>2028.6286307053942</v>
      </c>
      <c r="AL93" s="8">
        <v>845.26192946058086</v>
      </c>
      <c r="AM93" s="8">
        <v>507.15715767634856</v>
      </c>
      <c r="AN93" s="8">
        <v>169.05238589211618</v>
      </c>
      <c r="AO93" s="8">
        <v>0</v>
      </c>
    </row>
    <row r="94" spans="3:54">
      <c r="C94" s="8">
        <f t="shared" si="19"/>
        <v>1712</v>
      </c>
      <c r="D94" s="8">
        <v>115234</v>
      </c>
      <c r="E94" s="8">
        <v>202776</v>
      </c>
      <c r="F94" s="8">
        <v>184847.79909706546</v>
      </c>
      <c r="G94" s="8">
        <v>160799.63882618511</v>
      </c>
      <c r="H94" s="8">
        <v>138187.18961625281</v>
      </c>
      <c r="I94" s="8">
        <f t="shared" si="20"/>
        <v>0.9115861793164155</v>
      </c>
      <c r="J94" s="8">
        <f t="shared" si="21"/>
        <v>0.7929914724927265</v>
      </c>
      <c r="K94" s="8">
        <f t="shared" si="22"/>
        <v>0.68147704667343678</v>
      </c>
      <c r="L94" s="8">
        <v>76</v>
      </c>
      <c r="M94" s="8">
        <v>0.1618</v>
      </c>
      <c r="N94" s="8">
        <f t="shared" si="23"/>
        <v>0.91309255079006757</v>
      </c>
      <c r="O94" s="8">
        <f t="shared" si="24"/>
        <v>0.91309255079006768</v>
      </c>
      <c r="P94" s="8">
        <v>318010</v>
      </c>
      <c r="Q94" s="8">
        <v>290372.5620767494</v>
      </c>
      <c r="R94" s="8">
        <v>262914.58803611738</v>
      </c>
      <c r="S94" s="8">
        <v>235995.00564334088</v>
      </c>
      <c r="T94" s="8">
        <v>209972.74266365691</v>
      </c>
      <c r="U94" s="8">
        <v>184847.79909706546</v>
      </c>
      <c r="V94" s="8">
        <v>160799.63882618511</v>
      </c>
      <c r="W94" s="8">
        <v>138187.18961625281</v>
      </c>
      <c r="X94" s="8">
        <v>117189.91534988713</v>
      </c>
      <c r="Y94" s="8">
        <v>97987.279909706558</v>
      </c>
      <c r="Z94" s="8">
        <v>80579.283295711066</v>
      </c>
      <c r="AA94" s="8">
        <v>65145.38939051918</v>
      </c>
      <c r="AB94" s="8">
        <v>51685.598194130922</v>
      </c>
      <c r="AC94" s="8">
        <v>40020.445823927766</v>
      </c>
      <c r="AD94" s="8">
        <v>30329.396162528217</v>
      </c>
      <c r="AE94" s="8">
        <v>22432.985327313771</v>
      </c>
      <c r="AF94" s="8">
        <v>16151.749435665914</v>
      </c>
      <c r="AG94" s="8">
        <v>11306.224604966141</v>
      </c>
      <c r="AH94" s="8">
        <v>7358.0191873589174</v>
      </c>
      <c r="AI94" s="8">
        <v>4666.0609480812636</v>
      </c>
      <c r="AJ94" s="8">
        <v>2153.5665914221217</v>
      </c>
      <c r="AK94" s="8">
        <v>897.3194130925508</v>
      </c>
      <c r="AL94" s="8">
        <v>538.39164785553044</v>
      </c>
      <c r="AM94" s="8">
        <v>179.46388261851018</v>
      </c>
      <c r="AN94" s="8">
        <v>0</v>
      </c>
      <c r="AO94" s="8">
        <v>0</v>
      </c>
    </row>
    <row r="95" spans="3:54">
      <c r="C95" s="8">
        <f t="shared" si="19"/>
        <v>1711</v>
      </c>
      <c r="D95" s="8">
        <v>80331</v>
      </c>
      <c r="E95" s="8">
        <v>163180</v>
      </c>
      <c r="F95" s="8">
        <v>134849.10754017305</v>
      </c>
      <c r="G95" s="8">
        <v>115885.95179233623</v>
      </c>
      <c r="H95" s="8">
        <v>98277.307169344873</v>
      </c>
      <c r="I95" s="8">
        <f t="shared" si="20"/>
        <v>0.82638256857564074</v>
      </c>
      <c r="J95" s="8">
        <f t="shared" si="21"/>
        <v>0.71017251986969132</v>
      </c>
      <c r="K95" s="8">
        <f t="shared" si="22"/>
        <v>0.60226318892845243</v>
      </c>
      <c r="L95" s="8">
        <v>77</v>
      </c>
      <c r="M95" s="8">
        <v>0.14649999999999999</v>
      </c>
      <c r="N95" s="8">
        <f t="shared" si="23"/>
        <v>0.90543881334981458</v>
      </c>
      <c r="O95" s="8">
        <f t="shared" si="24"/>
        <v>0.90543881334981458</v>
      </c>
      <c r="P95" s="8">
        <v>243511</v>
      </c>
      <c r="Q95" s="8">
        <v>220484.3108776267</v>
      </c>
      <c r="R95" s="8">
        <v>197909.12546353525</v>
      </c>
      <c r="S95" s="8">
        <v>176086.44622991348</v>
      </c>
      <c r="T95" s="8">
        <v>155016.27317676143</v>
      </c>
      <c r="U95" s="8">
        <v>134849.10754017305</v>
      </c>
      <c r="V95" s="8">
        <v>115885.95179233623</v>
      </c>
      <c r="W95" s="8">
        <v>98277.307169344873</v>
      </c>
      <c r="X95" s="8">
        <v>82173.674907292952</v>
      </c>
      <c r="Y95" s="8">
        <v>67575.055006180482</v>
      </c>
      <c r="Z95" s="8">
        <v>54631.948702101363</v>
      </c>
      <c r="AA95" s="8">
        <v>43344.355995055623</v>
      </c>
      <c r="AB95" s="8">
        <v>33561.775648949319</v>
      </c>
      <c r="AC95" s="8">
        <v>25434.70889987639</v>
      </c>
      <c r="AD95" s="8">
        <v>18812.654511742894</v>
      </c>
      <c r="AE95" s="8">
        <v>13545.111248454881</v>
      </c>
      <c r="AF95" s="8">
        <v>9481.5778739184188</v>
      </c>
      <c r="AG95" s="8">
        <v>6170.550679851669</v>
      </c>
      <c r="AH95" s="8">
        <v>3913.0321384425215</v>
      </c>
      <c r="AI95" s="8">
        <v>1806.0148331273176</v>
      </c>
      <c r="AJ95" s="8">
        <v>752.50618046971567</v>
      </c>
      <c r="AK95" s="8">
        <v>451.5037082818294</v>
      </c>
      <c r="AL95" s="8">
        <v>150.50123609394316</v>
      </c>
      <c r="AM95" s="8">
        <v>0</v>
      </c>
      <c r="AN95" s="8">
        <v>0</v>
      </c>
      <c r="AO95" s="8">
        <v>0</v>
      </c>
    </row>
    <row r="96" spans="3:54">
      <c r="C96" s="8">
        <f t="shared" si="19"/>
        <v>1710</v>
      </c>
      <c r="D96" s="8">
        <v>86363</v>
      </c>
      <c r="E96" s="8">
        <v>169200</v>
      </c>
      <c r="F96" s="8">
        <v>134323.21501706485</v>
      </c>
      <c r="G96" s="8">
        <v>113913.06416382252</v>
      </c>
      <c r="H96" s="8">
        <v>95247.370648464173</v>
      </c>
      <c r="I96" s="8">
        <f t="shared" si="20"/>
        <v>0.79387242917887024</v>
      </c>
      <c r="J96" s="8">
        <f t="shared" si="21"/>
        <v>0.67324506006987306</v>
      </c>
      <c r="K96" s="8">
        <f t="shared" si="22"/>
        <v>0.56292772250865353</v>
      </c>
      <c r="L96" s="8">
        <v>78</v>
      </c>
      <c r="M96" s="8">
        <v>0.13150000000000001</v>
      </c>
      <c r="N96" s="8">
        <f t="shared" si="23"/>
        <v>0.89761092150170663</v>
      </c>
      <c r="O96" s="8">
        <f t="shared" si="24"/>
        <v>0.89761092150170663</v>
      </c>
      <c r="P96" s="8">
        <v>255563</v>
      </c>
      <c r="Q96" s="8">
        <v>229396.13993174065</v>
      </c>
      <c r="R96" s="8">
        <v>204101.50853242324</v>
      </c>
      <c r="S96" s="8">
        <v>179679.10580204776</v>
      </c>
      <c r="T96" s="8">
        <v>156303.37747440275</v>
      </c>
      <c r="U96" s="8">
        <v>134323.21501706485</v>
      </c>
      <c r="V96" s="8">
        <v>113913.06416382252</v>
      </c>
      <c r="W96" s="8">
        <v>95247.370648464173</v>
      </c>
      <c r="X96" s="8">
        <v>78326.134470989768</v>
      </c>
      <c r="Y96" s="8">
        <v>63323.801365187719</v>
      </c>
      <c r="Z96" s="8">
        <v>50240.371331058021</v>
      </c>
      <c r="AA96" s="8">
        <v>38901.398634812293</v>
      </c>
      <c r="AB96" s="8">
        <v>29481.329010238907</v>
      </c>
      <c r="AC96" s="8">
        <v>21805.716723549493</v>
      </c>
      <c r="AD96" s="8">
        <v>15700.116040955632</v>
      </c>
      <c r="AE96" s="8">
        <v>10990.081228668943</v>
      </c>
      <c r="AF96" s="8">
        <v>7152.2750853242333</v>
      </c>
      <c r="AG96" s="8">
        <v>4535.5890784982939</v>
      </c>
      <c r="AH96" s="8">
        <v>2093.348805460751</v>
      </c>
      <c r="AI96" s="8">
        <v>872.22866894197966</v>
      </c>
      <c r="AJ96" s="8">
        <v>523.33720136518775</v>
      </c>
      <c r="AK96" s="8">
        <v>174.44573378839593</v>
      </c>
    </row>
    <row r="97" spans="3:37">
      <c r="C97" s="8">
        <f t="shared" si="19"/>
        <v>1709</v>
      </c>
      <c r="D97" s="8">
        <v>75125</v>
      </c>
      <c r="E97" s="8">
        <v>131942</v>
      </c>
      <c r="F97" s="8">
        <v>102824.90570342205</v>
      </c>
      <c r="G97" s="8">
        <v>85976.10798479087</v>
      </c>
      <c r="H97" s="8">
        <v>70701.964258555134</v>
      </c>
      <c r="I97" s="8">
        <f t="shared" si="20"/>
        <v>0.7793189863987362</v>
      </c>
      <c r="J97" s="8">
        <f t="shared" si="21"/>
        <v>0.65162046948500763</v>
      </c>
      <c r="K97" s="8">
        <f t="shared" si="22"/>
        <v>0.53585639340433777</v>
      </c>
      <c r="L97" s="8">
        <v>79</v>
      </c>
      <c r="M97" s="8">
        <v>0.11700000000000001</v>
      </c>
      <c r="N97" s="8">
        <f t="shared" si="23"/>
        <v>0.88973384030418246</v>
      </c>
      <c r="O97" s="8">
        <f t="shared" si="24"/>
        <v>0.88973384030418257</v>
      </c>
      <c r="P97" s="8">
        <v>207067</v>
      </c>
      <c r="Q97" s="8">
        <v>184234.51711026614</v>
      </c>
      <c r="R97" s="8">
        <v>162189.36121673</v>
      </c>
      <c r="S97" s="8">
        <v>141088.99771863117</v>
      </c>
      <c r="T97" s="8">
        <v>121248.35741444866</v>
      </c>
      <c r="U97" s="8">
        <v>102824.90570342205</v>
      </c>
      <c r="V97" s="8">
        <v>85976.10798479087</v>
      </c>
      <c r="W97" s="8">
        <v>70701.964258555134</v>
      </c>
      <c r="X97" s="8">
        <v>57159.939923954364</v>
      </c>
      <c r="Y97" s="8">
        <v>45350.034980988588</v>
      </c>
      <c r="Z97" s="8">
        <v>35114.784030418254</v>
      </c>
      <c r="AA97" s="8">
        <v>26611.652471482885</v>
      </c>
      <c r="AB97" s="8">
        <v>19683.174904942967</v>
      </c>
      <c r="AC97" s="8">
        <v>14171.885931558934</v>
      </c>
      <c r="AD97" s="8">
        <v>9920.3201520912535</v>
      </c>
      <c r="AE97" s="8">
        <v>6456.0813688212929</v>
      </c>
      <c r="AF97" s="8">
        <v>4094.1003802281366</v>
      </c>
      <c r="AG97" s="8">
        <v>1889.5847908745245</v>
      </c>
      <c r="AH97" s="8">
        <v>787.32699619771859</v>
      </c>
      <c r="AI97" s="8">
        <v>472.39619771863113</v>
      </c>
      <c r="AJ97" s="8">
        <v>157.46539923954373</v>
      </c>
      <c r="AK97" s="8">
        <v>0</v>
      </c>
    </row>
    <row r="98" spans="3:37">
      <c r="C98" s="8">
        <f t="shared" si="19"/>
        <v>1708</v>
      </c>
      <c r="D98" s="8">
        <v>86626</v>
      </c>
      <c r="E98" s="8">
        <v>86089</v>
      </c>
      <c r="F98" s="8">
        <v>80600.333333333328</v>
      </c>
      <c r="G98" s="8">
        <v>66281.2264957265</v>
      </c>
      <c r="H98" s="8">
        <v>53585.935897435898</v>
      </c>
      <c r="I98" s="8">
        <f t="shared" si="20"/>
        <v>0.93624427433624891</v>
      </c>
      <c r="J98" s="8">
        <f t="shared" si="21"/>
        <v>0.76991516332779453</v>
      </c>
      <c r="K98" s="8">
        <f t="shared" si="22"/>
        <v>0.6224481164543193</v>
      </c>
      <c r="L98" s="8">
        <v>80</v>
      </c>
      <c r="M98" s="8">
        <v>0.10299999999999999</v>
      </c>
      <c r="N98" s="8">
        <f t="shared" si="23"/>
        <v>0.88034188034188021</v>
      </c>
      <c r="O98" s="8">
        <f t="shared" si="24"/>
        <v>0.88034188034188021</v>
      </c>
      <c r="P98" s="8">
        <v>172715</v>
      </c>
      <c r="Q98" s="8">
        <v>152048.24786324785</v>
      </c>
      <c r="R98" s="8">
        <v>132267.21367521366</v>
      </c>
      <c r="S98" s="8">
        <v>113667.13675213675</v>
      </c>
      <c r="T98" s="8">
        <v>96395.636752136736</v>
      </c>
      <c r="U98" s="8">
        <v>80600.333333333328</v>
      </c>
      <c r="V98" s="8">
        <v>66281.2264957265</v>
      </c>
      <c r="W98" s="8">
        <v>53585.935897435898</v>
      </c>
      <c r="X98" s="8">
        <v>42514.461538461539</v>
      </c>
      <c r="Y98" s="8">
        <v>32919.183760683758</v>
      </c>
      <c r="Z98" s="8">
        <v>24947.722222222219</v>
      </c>
      <c r="AA98" s="8">
        <v>18452.457264957266</v>
      </c>
      <c r="AB98" s="8">
        <v>13285.769230769229</v>
      </c>
      <c r="AC98" s="8">
        <v>9300.038461538461</v>
      </c>
      <c r="AD98" s="8">
        <v>6052.4059829059834</v>
      </c>
      <c r="AE98" s="8">
        <v>3838.1111111111104</v>
      </c>
      <c r="AF98" s="8">
        <v>1771.4358974358972</v>
      </c>
      <c r="AG98" s="8">
        <v>738.09829059829053</v>
      </c>
      <c r="AH98" s="8">
        <v>442.85897435897431</v>
      </c>
      <c r="AI98" s="8">
        <v>147.61965811965811</v>
      </c>
      <c r="AJ98" s="8">
        <v>0</v>
      </c>
      <c r="AK98" s="8">
        <v>0</v>
      </c>
    </row>
    <row r="99" spans="3:37">
      <c r="C99" s="8">
        <f t="shared" si="19"/>
        <v>1707</v>
      </c>
      <c r="D99" s="8">
        <v>77879</v>
      </c>
      <c r="E99" s="8">
        <v>101374</v>
      </c>
      <c r="F99" s="8">
        <v>78140.385436893208</v>
      </c>
      <c r="G99" s="8">
        <v>63173.630097087378</v>
      </c>
      <c r="H99" s="8">
        <v>50121.227184466021</v>
      </c>
      <c r="I99" s="8">
        <f t="shared" si="20"/>
        <v>0.77081288532457248</v>
      </c>
      <c r="J99" s="8">
        <f t="shared" si="21"/>
        <v>0.62317389169893045</v>
      </c>
      <c r="K99" s="8">
        <f t="shared" si="22"/>
        <v>0.49441895539749858</v>
      </c>
      <c r="L99" s="8">
        <v>81</v>
      </c>
      <c r="M99" s="8">
        <v>8.9599999999999999E-2</v>
      </c>
      <c r="N99" s="8">
        <f t="shared" si="23"/>
        <v>0.86990291262135933</v>
      </c>
      <c r="O99" s="8">
        <f t="shared" si="24"/>
        <v>0.86990291262135921</v>
      </c>
      <c r="P99" s="8">
        <v>179253</v>
      </c>
      <c r="Q99" s="8">
        <v>155932.70679611652</v>
      </c>
      <c r="R99" s="8">
        <v>134004.66990291263</v>
      </c>
      <c r="S99" s="8">
        <v>113642.92135922331</v>
      </c>
      <c r="T99" s="8">
        <v>95021.49320388351</v>
      </c>
      <c r="U99" s="8">
        <v>78140.385436893208</v>
      </c>
      <c r="V99" s="8">
        <v>63173.630097087378</v>
      </c>
      <c r="W99" s="8">
        <v>50121.227184466021</v>
      </c>
      <c r="X99" s="8">
        <v>38809.144660194179</v>
      </c>
      <c r="Y99" s="8">
        <v>29411.414563106795</v>
      </c>
      <c r="Z99" s="8">
        <v>21754.004854368934</v>
      </c>
      <c r="AA99" s="8">
        <v>15662.88349514563</v>
      </c>
      <c r="AB99" s="8">
        <v>10964.018446601942</v>
      </c>
      <c r="AC99" s="8">
        <v>7135.3135922330102</v>
      </c>
      <c r="AD99" s="8">
        <v>4524.8330097087382</v>
      </c>
      <c r="AE99" s="8">
        <v>2088.3844660194172</v>
      </c>
      <c r="AF99" s="8">
        <v>870.16019417475741</v>
      </c>
      <c r="AG99" s="8">
        <v>522.09611650485431</v>
      </c>
      <c r="AH99" s="8">
        <v>174.03203883495146</v>
      </c>
    </row>
    <row r="100" spans="3:37">
      <c r="C100" s="8">
        <f t="shared" si="19"/>
        <v>1706</v>
      </c>
      <c r="D100" s="8">
        <v>48361</v>
      </c>
      <c r="E100" s="8">
        <v>79994</v>
      </c>
      <c r="F100" s="8">
        <v>52000.965401785717</v>
      </c>
      <c r="G100" s="8">
        <v>41256.964285714283</v>
      </c>
      <c r="H100" s="8">
        <v>31945.496651785714</v>
      </c>
      <c r="I100" s="8">
        <f t="shared" si="20"/>
        <v>0.65006082208397775</v>
      </c>
      <c r="J100" s="8">
        <f t="shared" si="21"/>
        <v>0.51575073487654433</v>
      </c>
      <c r="K100" s="8">
        <f t="shared" si="22"/>
        <v>0.39934865929676866</v>
      </c>
      <c r="L100" s="8">
        <v>82</v>
      </c>
      <c r="M100" s="8">
        <v>7.6999999999999999E-2</v>
      </c>
      <c r="N100" s="8">
        <f t="shared" si="23"/>
        <v>0.85937499999999989</v>
      </c>
      <c r="O100" s="8">
        <f t="shared" si="24"/>
        <v>0.859375</v>
      </c>
      <c r="P100" s="8">
        <v>128355</v>
      </c>
      <c r="Q100" s="8">
        <v>110305.07812499999</v>
      </c>
      <c r="R100" s="8">
        <v>93544.43638392858</v>
      </c>
      <c r="S100" s="8">
        <v>78216.328125</v>
      </c>
      <c r="T100" s="8">
        <v>64320.75334821429</v>
      </c>
      <c r="U100" s="8">
        <v>52000.965401785717</v>
      </c>
      <c r="V100" s="8">
        <v>41256.964285714283</v>
      </c>
      <c r="W100" s="8">
        <v>31945.496651785714</v>
      </c>
      <c r="X100" s="8">
        <v>24209.815848214283</v>
      </c>
      <c r="Y100" s="8">
        <v>17906.668526785714</v>
      </c>
      <c r="Z100" s="8">
        <v>12892.801339285714</v>
      </c>
      <c r="AA100" s="8">
        <v>9024.9609375</v>
      </c>
      <c r="AB100" s="8">
        <v>5873.3872767857147</v>
      </c>
      <c r="AC100" s="8">
        <v>3724.587053571428</v>
      </c>
      <c r="AD100" s="8">
        <v>1719.0401785714284</v>
      </c>
      <c r="AE100" s="8">
        <v>716.26674107142856</v>
      </c>
      <c r="AF100" s="8">
        <v>429.76004464285711</v>
      </c>
      <c r="AG100" s="8">
        <v>143.25334821428572</v>
      </c>
      <c r="AH100" s="8">
        <v>0</v>
      </c>
    </row>
    <row r="101" spans="3:37">
      <c r="C101" s="8">
        <f t="shared" si="19"/>
        <v>1705</v>
      </c>
      <c r="D101" s="8">
        <v>71655</v>
      </c>
      <c r="E101" s="8">
        <v>174390</v>
      </c>
      <c r="F101" s="8">
        <v>92027.220779220777</v>
      </c>
      <c r="G101" s="8">
        <v>71257.188311688311</v>
      </c>
      <c r="H101" s="8">
        <v>54002.084415584417</v>
      </c>
      <c r="I101" s="8">
        <f t="shared" si="20"/>
        <v>0.52770927678892587</v>
      </c>
      <c r="J101" s="8">
        <f t="shared" si="21"/>
        <v>0.40860822473586966</v>
      </c>
      <c r="K101" s="8">
        <f t="shared" si="22"/>
        <v>0.30966273533794608</v>
      </c>
      <c r="L101" s="8">
        <v>83</v>
      </c>
      <c r="M101" s="8">
        <v>6.5299999999999997E-2</v>
      </c>
      <c r="N101" s="8">
        <f t="shared" si="23"/>
        <v>0.84805194805194806</v>
      </c>
      <c r="O101" s="8">
        <f t="shared" si="24"/>
        <v>0.84805194805194806</v>
      </c>
      <c r="P101" s="8">
        <v>246045</v>
      </c>
      <c r="Q101" s="8">
        <v>208658.94155844155</v>
      </c>
      <c r="R101" s="8">
        <v>174468.27272727274</v>
      </c>
      <c r="S101" s="8">
        <v>143472.99350649351</v>
      </c>
      <c r="T101" s="8">
        <v>115992.64285714286</v>
      </c>
      <c r="U101" s="8">
        <v>92027.220779220777</v>
      </c>
      <c r="V101" s="8">
        <v>71257.188311688311</v>
      </c>
      <c r="W101" s="8">
        <v>54002.084415584417</v>
      </c>
      <c r="X101" s="8">
        <v>39942.370129870127</v>
      </c>
      <c r="Y101" s="8">
        <v>28758.506493506491</v>
      </c>
      <c r="Z101" s="8">
        <v>20130.954545454544</v>
      </c>
      <c r="AA101" s="8">
        <v>13101.097402597405</v>
      </c>
      <c r="AB101" s="8">
        <v>8308.0129870129858</v>
      </c>
      <c r="AC101" s="8">
        <v>3834.4675324675322</v>
      </c>
      <c r="AD101" s="8">
        <v>1597.6948051948052</v>
      </c>
      <c r="AE101" s="8">
        <v>958.61688311688306</v>
      </c>
      <c r="AF101" s="8">
        <v>319.53896103896108</v>
      </c>
      <c r="AG101" s="8">
        <v>0</v>
      </c>
      <c r="AH101" s="8">
        <v>0</v>
      </c>
    </row>
    <row r="102" spans="3:37">
      <c r="C102" s="8">
        <f t="shared" si="19"/>
        <v>1704</v>
      </c>
      <c r="D102" s="8">
        <v>252227</v>
      </c>
      <c r="E102" s="8">
        <v>286632</v>
      </c>
      <c r="F102" s="8">
        <v>41795.064709659506</v>
      </c>
      <c r="G102" s="8">
        <v>97174.638148772792</v>
      </c>
      <c r="H102" s="8">
        <v>66746.574784647557</v>
      </c>
      <c r="I102" s="8">
        <f t="shared" si="20"/>
        <v>0.14581437072503944</v>
      </c>
      <c r="J102" s="8">
        <f t="shared" si="21"/>
        <v>0.33902229391265731</v>
      </c>
      <c r="K102" s="8">
        <f t="shared" si="22"/>
        <v>0.23286504920820969</v>
      </c>
      <c r="L102" s="8">
        <v>84</v>
      </c>
      <c r="M102" s="8">
        <v>5.4600000000000003E-2</v>
      </c>
      <c r="N102" s="8">
        <f t="shared" ref="N102:N117" si="25">Q102/P102</f>
        <v>0.83614088820826959</v>
      </c>
      <c r="O102" s="8">
        <f t="shared" ref="O102:O117" si="26">M102/M101</f>
        <v>0.83614088820826959</v>
      </c>
      <c r="P102" s="10">
        <v>122386.44509151415</v>
      </c>
      <c r="Q102" s="8">
        <v>102332.31090347125</v>
      </c>
      <c r="R102" s="8">
        <v>84152.394863843583</v>
      </c>
      <c r="S102" s="8">
        <v>68034.118787472646</v>
      </c>
      <c r="T102" s="8">
        <v>53977.482674358464</v>
      </c>
      <c r="U102" s="8">
        <v>41795.064709659506</v>
      </c>
      <c r="V102" s="8">
        <v>31674.286708217289</v>
      </c>
      <c r="W102" s="8">
        <v>23427.726855190307</v>
      </c>
      <c r="X102" s="8">
        <v>16867.963335737018</v>
      </c>
      <c r="Y102" s="8">
        <v>11807.574335015914</v>
      </c>
      <c r="Z102" s="8">
        <v>7684.294408502421</v>
      </c>
      <c r="AA102" s="8">
        <v>4872.9671858795828</v>
      </c>
      <c r="AB102" s="8">
        <v>2249.0617780982693</v>
      </c>
      <c r="AC102" s="8">
        <v>937.10907420761225</v>
      </c>
      <c r="AD102" s="8">
        <v>562.26544452456722</v>
      </c>
      <c r="AE102" s="8">
        <v>187.42181484152243</v>
      </c>
      <c r="AF102" s="8">
        <v>0</v>
      </c>
      <c r="AG102" s="8">
        <v>0</v>
      </c>
      <c r="AH102" s="8">
        <v>0</v>
      </c>
    </row>
    <row r="103" spans="3:37">
      <c r="F103" s="8">
        <v>31151.651840186987</v>
      </c>
      <c r="L103" s="8">
        <v>85</v>
      </c>
      <c r="M103" s="8">
        <v>4.4900000000000002E-2</v>
      </c>
      <c r="N103" s="8">
        <f t="shared" si="25"/>
        <v>0.82234432234432231</v>
      </c>
      <c r="O103" s="8">
        <f t="shared" si="26"/>
        <v>0.82234432234432231</v>
      </c>
      <c r="P103" s="10">
        <v>100643.79825291182</v>
      </c>
      <c r="Q103" s="8">
        <v>82763.85607244946</v>
      </c>
      <c r="R103" s="8">
        <v>66911.536201111696</v>
      </c>
      <c r="S103" s="8">
        <v>53086.838638898538</v>
      </c>
      <c r="T103" s="8">
        <v>41105.434084980465</v>
      </c>
      <c r="U103" s="8">
        <v>31151.651840186987</v>
      </c>
      <c r="V103" s="8">
        <v>23041.162603688601</v>
      </c>
      <c r="W103" s="8">
        <v>16589.637074655791</v>
      </c>
      <c r="X103" s="8">
        <v>11612.745952259054</v>
      </c>
      <c r="Y103" s="8">
        <v>7557.5013340098621</v>
      </c>
      <c r="Z103" s="8">
        <v>4792.5618215672293</v>
      </c>
      <c r="AA103" s="8">
        <v>2211.9516099541056</v>
      </c>
      <c r="AB103" s="8">
        <v>921.64650414754408</v>
      </c>
      <c r="AC103" s="8">
        <v>552.9879024885264</v>
      </c>
      <c r="AD103" s="8">
        <v>184.32930082950881</v>
      </c>
      <c r="AE103" s="8">
        <v>0</v>
      </c>
      <c r="AF103" s="8">
        <v>0</v>
      </c>
      <c r="AG103" s="8">
        <v>0</v>
      </c>
      <c r="AH103" s="8">
        <v>0</v>
      </c>
    </row>
    <row r="104" spans="3:37">
      <c r="F104" s="8">
        <v>22652.230622496285</v>
      </c>
      <c r="L104" s="8">
        <v>86</v>
      </c>
      <c r="M104" s="8">
        <v>3.6299999999999999E-2</v>
      </c>
      <c r="N104" s="8">
        <f t="shared" si="25"/>
        <v>0.80846325167037858</v>
      </c>
      <c r="O104" s="8">
        <f t="shared" si="26"/>
        <v>0.80846325167037858</v>
      </c>
      <c r="P104" s="10">
        <v>81366.812396006659</v>
      </c>
      <c r="Q104" s="8">
        <v>65782.077727729207</v>
      </c>
      <c r="R104" s="8">
        <v>52190.739354231438</v>
      </c>
      <c r="S104" s="8">
        <v>40411.579430533377</v>
      </c>
      <c r="T104" s="8">
        <v>30625.815801614975</v>
      </c>
      <c r="U104" s="8">
        <v>22652.230622496285</v>
      </c>
      <c r="V104" s="8">
        <v>16309.606048197325</v>
      </c>
      <c r="W104" s="8">
        <v>11416.724233738129</v>
      </c>
      <c r="X104" s="8">
        <v>7429.9316441787814</v>
      </c>
      <c r="Y104" s="8">
        <v>4711.6639694792266</v>
      </c>
      <c r="Z104" s="8">
        <v>2174.614139759643</v>
      </c>
      <c r="AA104" s="8">
        <v>906.0892248998515</v>
      </c>
      <c r="AB104" s="8">
        <v>543.65353493991074</v>
      </c>
      <c r="AC104" s="8">
        <v>181.21784497997027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</row>
    <row r="105" spans="3:37">
      <c r="F105" s="8">
        <v>16005.492773751736</v>
      </c>
      <c r="L105" s="8">
        <v>87</v>
      </c>
      <c r="M105" s="8">
        <v>2.8799999999999999E-2</v>
      </c>
      <c r="N105" s="8">
        <f t="shared" si="25"/>
        <v>0.79338842975206614</v>
      </c>
      <c r="O105" s="8">
        <f t="shared" si="26"/>
        <v>0.79338842975206614</v>
      </c>
      <c r="P105" s="10">
        <v>64555.48752079867</v>
      </c>
      <c r="Q105" s="8">
        <v>51217.576876005558</v>
      </c>
      <c r="R105" s="8">
        <v>39658.054317184862</v>
      </c>
      <c r="S105" s="8">
        <v>30054.758652933815</v>
      </c>
      <c r="T105" s="8">
        <v>22229.851074655191</v>
      </c>
      <c r="U105" s="8">
        <v>16005.492773751736</v>
      </c>
      <c r="V105" s="8">
        <v>11203.844941626216</v>
      </c>
      <c r="W105" s="8">
        <v>7291.3911524869027</v>
      </c>
      <c r="X105" s="8">
        <v>4623.8090235282798</v>
      </c>
      <c r="Y105" s="8">
        <v>2134.0657031668979</v>
      </c>
      <c r="Z105" s="8">
        <v>889.19404298620748</v>
      </c>
      <c r="AA105" s="8">
        <v>533.51642579172449</v>
      </c>
      <c r="AB105" s="8">
        <v>177.83880859724152</v>
      </c>
    </row>
    <row r="106" spans="3:37">
      <c r="F106" s="8">
        <v>10934.365887583195</v>
      </c>
      <c r="L106" s="8">
        <v>88</v>
      </c>
      <c r="M106" s="8">
        <v>2.23E-2</v>
      </c>
      <c r="N106" s="8">
        <f t="shared" si="25"/>
        <v>0.77430555555555569</v>
      </c>
      <c r="O106" s="8">
        <f t="shared" si="26"/>
        <v>0.77430555555555558</v>
      </c>
      <c r="P106" s="10">
        <v>49985.672628951746</v>
      </c>
      <c r="Q106" s="8">
        <v>38704.184014778613</v>
      </c>
      <c r="R106" s="8">
        <v>29331.870396850158</v>
      </c>
      <c r="S106" s="8">
        <v>21695.170411871422</v>
      </c>
      <c r="T106" s="8">
        <v>15620.522696547419</v>
      </c>
      <c r="U106" s="8">
        <v>10934.365887583195</v>
      </c>
      <c r="V106" s="8">
        <v>7116.0158950938257</v>
      </c>
      <c r="W106" s="8">
        <v>4512.5954456692552</v>
      </c>
      <c r="X106" s="8">
        <v>2082.736359539656</v>
      </c>
      <c r="Y106" s="8">
        <v>867.80681647485676</v>
      </c>
      <c r="Z106" s="8">
        <v>520.68408988491399</v>
      </c>
      <c r="AA106" s="8">
        <v>173.56136329497133</v>
      </c>
      <c r="AB106" s="8">
        <v>0</v>
      </c>
    </row>
    <row r="107" spans="3:37">
      <c r="F107" s="8">
        <v>6964.7635312595594</v>
      </c>
      <c r="L107" s="8">
        <v>89</v>
      </c>
      <c r="M107" s="8">
        <v>1.6899999999999998E-2</v>
      </c>
      <c r="N107" s="8">
        <f t="shared" si="25"/>
        <v>0.75784753363228696</v>
      </c>
      <c r="O107" s="8">
        <f t="shared" si="26"/>
        <v>0.75784753363228696</v>
      </c>
      <c r="P107" s="10">
        <v>37881.518718801992</v>
      </c>
      <c r="Q107" s="8">
        <v>28708.4155312894</v>
      </c>
      <c r="R107" s="8">
        <v>21234.035156279144</v>
      </c>
      <c r="S107" s="8">
        <v>15288.505312520982</v>
      </c>
      <c r="T107" s="8">
        <v>10701.953718764689</v>
      </c>
      <c r="U107" s="8">
        <v>6964.7635312595594</v>
      </c>
      <c r="V107" s="8">
        <v>4416.6793125060613</v>
      </c>
      <c r="W107" s="8">
        <v>2038.4673750027973</v>
      </c>
      <c r="X107" s="8">
        <v>849.3614062511657</v>
      </c>
      <c r="Y107" s="8">
        <v>509.61684375069933</v>
      </c>
      <c r="Z107" s="8">
        <v>169.87228125023316</v>
      </c>
      <c r="AA107" s="8">
        <v>0</v>
      </c>
    </row>
    <row r="108" spans="3:37">
      <c r="F108" s="8">
        <v>4310.5961218482025</v>
      </c>
      <c r="L108" s="8">
        <v>90</v>
      </c>
      <c r="M108" s="8">
        <v>1.2500000000000001E-2</v>
      </c>
      <c r="N108" s="8">
        <f t="shared" si="25"/>
        <v>0.73964497041420141</v>
      </c>
      <c r="O108" s="8">
        <f t="shared" si="26"/>
        <v>0.7396449704142013</v>
      </c>
      <c r="P108" s="10">
        <v>28018.874792013314</v>
      </c>
      <c r="Q108" s="8">
        <v>20724.0198165779</v>
      </c>
      <c r="R108" s="8">
        <v>14921.294267936084</v>
      </c>
      <c r="S108" s="8">
        <v>10444.905987555259</v>
      </c>
      <c r="T108" s="8">
        <v>6797.4784998375508</v>
      </c>
      <c r="U108" s="8">
        <v>4310.5961218482025</v>
      </c>
      <c r="V108" s="8">
        <v>1989.505902391478</v>
      </c>
      <c r="W108" s="8">
        <v>828.96079266311585</v>
      </c>
      <c r="X108" s="8">
        <v>497.3764755978695</v>
      </c>
      <c r="Y108" s="8">
        <v>165.79215853262318</v>
      </c>
      <c r="Z108" s="8">
        <v>0</v>
      </c>
      <c r="AA108" s="8">
        <v>0</v>
      </c>
    </row>
    <row r="109" spans="3:37">
      <c r="F109" s="8">
        <v>1936.6646256239599</v>
      </c>
      <c r="L109" s="8">
        <v>91</v>
      </c>
      <c r="M109" s="8">
        <v>8.9999999999999993E-3</v>
      </c>
      <c r="N109" s="8">
        <f t="shared" si="25"/>
        <v>0.71999999999999986</v>
      </c>
      <c r="O109" s="8">
        <f t="shared" si="26"/>
        <v>0.71999999999999986</v>
      </c>
      <c r="P109" s="10">
        <v>20173.589850249584</v>
      </c>
      <c r="Q109" s="8">
        <v>14524.984692179698</v>
      </c>
      <c r="R109" s="8">
        <v>10167.489284525789</v>
      </c>
      <c r="S109" s="8">
        <v>6616.9374708818641</v>
      </c>
      <c r="T109" s="8">
        <v>4196.1066888519126</v>
      </c>
      <c r="U109" s="8">
        <v>1936.6646256239599</v>
      </c>
      <c r="V109" s="8">
        <v>806.94359400998337</v>
      </c>
      <c r="W109" s="8">
        <v>484.16615640598997</v>
      </c>
      <c r="X109" s="8">
        <v>161.38871880199667</v>
      </c>
      <c r="Y109" s="8">
        <v>0</v>
      </c>
      <c r="Z109" s="8">
        <v>0</v>
      </c>
      <c r="AA109" s="8">
        <v>0</v>
      </c>
    </row>
    <row r="110" spans="3:37">
      <c r="F110" s="8">
        <v>784.52849417637276</v>
      </c>
      <c r="L110" s="8">
        <v>92</v>
      </c>
      <c r="M110" s="8">
        <v>6.3E-3</v>
      </c>
      <c r="N110" s="8">
        <f t="shared" si="25"/>
        <v>0.70000000000000007</v>
      </c>
      <c r="O110" s="8">
        <f t="shared" si="26"/>
        <v>0.70000000000000007</v>
      </c>
      <c r="P110" s="10">
        <v>14121.512895174708</v>
      </c>
      <c r="Q110" s="8">
        <v>9885.0590266222971</v>
      </c>
      <c r="R110" s="8">
        <v>6433.133652246257</v>
      </c>
      <c r="S110" s="8">
        <v>4079.5481697171381</v>
      </c>
      <c r="T110" s="8">
        <v>1882.8683860232945</v>
      </c>
      <c r="U110" s="8">
        <v>784.52849417637276</v>
      </c>
      <c r="V110" s="8">
        <v>470.71709650582363</v>
      </c>
      <c r="W110" s="8">
        <v>156.90569883527453</v>
      </c>
      <c r="X110" s="8">
        <v>0</v>
      </c>
      <c r="Y110" s="8">
        <v>0</v>
      </c>
      <c r="Z110" s="8">
        <v>0</v>
      </c>
      <c r="AA110" s="8">
        <v>0</v>
      </c>
    </row>
    <row r="111" spans="3:37">
      <c r="F111" s="8">
        <v>437.62813960858892</v>
      </c>
      <c r="L111" s="8">
        <v>93</v>
      </c>
      <c r="M111" s="8">
        <v>4.1000000000000003E-3</v>
      </c>
      <c r="N111" s="8">
        <f t="shared" si="25"/>
        <v>0.65079365079365081</v>
      </c>
      <c r="O111" s="8">
        <f t="shared" si="26"/>
        <v>0.65079365079365081</v>
      </c>
      <c r="P111" s="10">
        <v>9190.1909317803675</v>
      </c>
      <c r="Q111" s="8">
        <v>5980.9179079840487</v>
      </c>
      <c r="R111" s="8">
        <v>3792.777209941104</v>
      </c>
      <c r="S111" s="8">
        <v>1750.5125584343557</v>
      </c>
      <c r="T111" s="8">
        <v>729.38023268098152</v>
      </c>
      <c r="U111" s="8">
        <v>437.62813960858892</v>
      </c>
      <c r="V111" s="8">
        <v>145.8760465361963</v>
      </c>
    </row>
    <row r="112" spans="3:37">
      <c r="F112" s="8">
        <v>142.14453553021386</v>
      </c>
      <c r="L112" s="8">
        <v>94</v>
      </c>
      <c r="M112" s="8">
        <v>2.5999999999999999E-3</v>
      </c>
      <c r="N112" s="8">
        <f t="shared" si="25"/>
        <v>0.63414634146341453</v>
      </c>
      <c r="O112" s="8">
        <f t="shared" si="26"/>
        <v>0.63414634146341453</v>
      </c>
      <c r="P112" s="10">
        <v>5827.925956738768</v>
      </c>
      <c r="Q112" s="8">
        <v>3695.7579237855598</v>
      </c>
      <c r="R112" s="8">
        <v>1705.734426362566</v>
      </c>
      <c r="S112" s="8">
        <v>710.72267765106915</v>
      </c>
      <c r="T112" s="8">
        <v>426.43360659064149</v>
      </c>
      <c r="U112" s="8">
        <v>142.14453553021386</v>
      </c>
      <c r="V112" s="8">
        <v>0</v>
      </c>
    </row>
    <row r="113" spans="6:116">
      <c r="F113" s="8">
        <v>0</v>
      </c>
      <c r="L113" s="8">
        <v>95</v>
      </c>
      <c r="M113" s="8">
        <v>1.1999999999999999E-3</v>
      </c>
      <c r="N113" s="8">
        <f t="shared" si="25"/>
        <v>0.46153846153846151</v>
      </c>
      <c r="O113" s="8">
        <f t="shared" si="26"/>
        <v>0.46153846153846151</v>
      </c>
      <c r="P113" s="10">
        <v>2689.8119800332775</v>
      </c>
      <c r="Q113" s="8">
        <v>1241.4516830922819</v>
      </c>
      <c r="R113" s="8">
        <v>517.2715346217841</v>
      </c>
      <c r="S113" s="8">
        <v>310.36292077307047</v>
      </c>
      <c r="T113" s="8">
        <v>103.45430692435683</v>
      </c>
      <c r="U113" s="8">
        <v>0</v>
      </c>
      <c r="V113" s="8">
        <v>0</v>
      </c>
    </row>
    <row r="114" spans="6:116">
      <c r="F114" s="8">
        <v>0</v>
      </c>
      <c r="L114" s="8">
        <v>96</v>
      </c>
      <c r="M114" s="8">
        <v>5.0000000000000001E-4</v>
      </c>
      <c r="N114" s="8">
        <f t="shared" si="25"/>
        <v>0.41666666666666669</v>
      </c>
      <c r="O114" s="8">
        <f t="shared" si="26"/>
        <v>0.41666666666666669</v>
      </c>
      <c r="P114" s="10">
        <v>1120.7549916805324</v>
      </c>
      <c r="Q114" s="8">
        <v>466.98124653355518</v>
      </c>
      <c r="R114" s="8">
        <v>280.1887479201331</v>
      </c>
      <c r="S114" s="8">
        <v>93.396249306711042</v>
      </c>
      <c r="T114" s="8">
        <v>0</v>
      </c>
      <c r="U114" s="8">
        <v>0</v>
      </c>
      <c r="V114" s="8">
        <v>0</v>
      </c>
    </row>
    <row r="115" spans="6:116">
      <c r="F115" s="8">
        <v>0</v>
      </c>
      <c r="L115" s="8">
        <v>97</v>
      </c>
      <c r="M115" s="8">
        <v>2.9999999999999997E-4</v>
      </c>
      <c r="N115" s="8">
        <f t="shared" si="25"/>
        <v>0.6</v>
      </c>
      <c r="O115" s="8">
        <f t="shared" si="26"/>
        <v>0.6</v>
      </c>
      <c r="P115" s="10">
        <v>672.45299500831936</v>
      </c>
      <c r="Q115" s="8">
        <v>403.47179700499157</v>
      </c>
      <c r="R115" s="8">
        <v>134.49059900166387</v>
      </c>
      <c r="S115" s="8">
        <v>0</v>
      </c>
      <c r="T115" s="8">
        <v>0</v>
      </c>
      <c r="U115" s="8">
        <v>0</v>
      </c>
      <c r="V115" s="8">
        <v>0</v>
      </c>
    </row>
    <row r="116" spans="6:116">
      <c r="L116" s="8">
        <v>98</v>
      </c>
      <c r="M116" s="8">
        <v>1E-4</v>
      </c>
      <c r="N116" s="8">
        <f t="shared" si="25"/>
        <v>0</v>
      </c>
      <c r="O116" s="8">
        <f t="shared" si="26"/>
        <v>0.33333333333333337</v>
      </c>
      <c r="P116" s="10">
        <v>224.15099833610651</v>
      </c>
      <c r="Q116" s="8">
        <v>0</v>
      </c>
      <c r="R116" s="8">
        <v>0</v>
      </c>
    </row>
    <row r="117" spans="6:116">
      <c r="L117" s="8">
        <v>99</v>
      </c>
      <c r="M117" s="8">
        <v>0</v>
      </c>
      <c r="N117" s="8" t="e">
        <f t="shared" si="25"/>
        <v>#DIV/0!</v>
      </c>
      <c r="O117" s="8">
        <f t="shared" si="26"/>
        <v>0</v>
      </c>
      <c r="P117" s="8">
        <v>0</v>
      </c>
      <c r="Q117" s="8">
        <v>0</v>
      </c>
    </row>
    <row r="119" spans="6:116">
      <c r="P119" s="8">
        <v>102947495.91339652</v>
      </c>
      <c r="Q119" s="8">
        <v>100615639.04044791</v>
      </c>
      <c r="R119" s="8">
        <v>98623112.680603191</v>
      </c>
      <c r="S119" s="8">
        <v>96792866.090905815</v>
      </c>
      <c r="T119" s="8">
        <v>95065366.002566949</v>
      </c>
      <c r="U119" s="8">
        <v>93367545.070121422</v>
      </c>
      <c r="V119" s="8">
        <v>91714235.473196372</v>
      </c>
      <c r="W119" s="8">
        <v>90083631.802205607</v>
      </c>
      <c r="X119" s="8">
        <v>88467303.048873186</v>
      </c>
      <c r="Y119" s="8">
        <v>86855602.333868504</v>
      </c>
      <c r="Z119" s="8">
        <v>85252650.575514033</v>
      </c>
      <c r="AA119" s="8">
        <v>83647634.077112377</v>
      </c>
      <c r="AB119" s="8">
        <v>82044169.621879905</v>
      </c>
      <c r="AC119" s="8">
        <v>80441411.09356761</v>
      </c>
      <c r="AD119" s="8">
        <v>78840727.528431669</v>
      </c>
      <c r="AE119" s="8">
        <v>77240148.680802345</v>
      </c>
      <c r="AF119" s="8">
        <v>75648506.786059096</v>
      </c>
      <c r="AG119" s="8">
        <v>74068028.539711401</v>
      </c>
      <c r="AH119" s="8">
        <v>72501412.569979981</v>
      </c>
      <c r="AI119" s="8">
        <v>70952834.607170001</v>
      </c>
      <c r="AJ119" s="8">
        <v>69424033.054697186</v>
      </c>
      <c r="AK119" s="8">
        <v>67917321.799367756</v>
      </c>
      <c r="AL119" s="8">
        <v>66434084.585327327</v>
      </c>
      <c r="AM119" s="8">
        <v>64976526.408487543</v>
      </c>
      <c r="AN119" s="8">
        <v>63545515.849665172</v>
      </c>
      <c r="AO119" s="8">
        <v>62144203.631122865</v>
      </c>
      <c r="AP119" s="8">
        <v>60768997.207716078</v>
      </c>
      <c r="AQ119" s="8">
        <v>59421414.75093513</v>
      </c>
      <c r="AR119" s="8">
        <v>58098444.768932723</v>
      </c>
      <c r="AS119" s="8">
        <v>56803789.158818103</v>
      </c>
      <c r="AT119" s="8">
        <v>55533651.570919633</v>
      </c>
      <c r="AU119" s="8">
        <v>54304088.085082494</v>
      </c>
      <c r="AV119" s="8">
        <v>53081313.952611081</v>
      </c>
      <c r="AW119" s="8">
        <v>51881333.208677433</v>
      </c>
      <c r="AX119" s="8">
        <v>50699703.080161288</v>
      </c>
      <c r="AY119" s="8">
        <v>49537750.930850312</v>
      </c>
      <c r="AZ119" s="8">
        <v>48391998.723556302</v>
      </c>
      <c r="BA119" s="8">
        <v>47261411.051030189</v>
      </c>
      <c r="BB119" s="8">
        <v>46143617.662035502</v>
      </c>
      <c r="BC119" s="8">
        <v>45037336.526095912</v>
      </c>
      <c r="BD119" s="8">
        <v>43941055.665826365</v>
      </c>
      <c r="BE119" s="8">
        <v>42853817.185996756</v>
      </c>
      <c r="BF119" s="8">
        <v>41772881.719328977</v>
      </c>
      <c r="BG119" s="8">
        <v>40697028.568583451</v>
      </c>
      <c r="BH119" s="8">
        <v>39626375.929628477</v>
      </c>
      <c r="BI119" s="8">
        <v>38557551.633029424</v>
      </c>
      <c r="BJ119" s="8">
        <v>37489528.289924853</v>
      </c>
      <c r="BK119" s="8">
        <v>36421297.010884218</v>
      </c>
      <c r="BL119" s="8">
        <v>35351239.299566142</v>
      </c>
      <c r="BM119" s="8">
        <v>34279325.860997334</v>
      </c>
      <c r="BN119" s="8">
        <v>33202410.041852698</v>
      </c>
      <c r="BO119" s="8">
        <v>32120250.152368575</v>
      </c>
      <c r="BP119" s="8">
        <v>31031842.550942283</v>
      </c>
      <c r="BQ119" s="8">
        <v>29937091.604549497</v>
      </c>
      <c r="BR119" s="8">
        <v>28834738.601726267</v>
      </c>
      <c r="BS119" s="8">
        <v>27724042.467535108</v>
      </c>
      <c r="BT119" s="8">
        <v>26606104.454010922</v>
      </c>
      <c r="BU119" s="8">
        <v>25479738.224701162</v>
      </c>
      <c r="BV119" s="8">
        <v>24344915.557315987</v>
      </c>
      <c r="BW119" s="8">
        <v>23202773.789823718</v>
      </c>
      <c r="BX119" s="8">
        <v>22054124.105925731</v>
      </c>
      <c r="BY119" s="8">
        <v>20901085.408453036</v>
      </c>
      <c r="BZ119" s="8">
        <v>19743771.892107856</v>
      </c>
      <c r="CA119" s="8">
        <v>18584650.870760016</v>
      </c>
      <c r="CB119" s="8">
        <v>17428550.538723681</v>
      </c>
      <c r="CC119" s="8">
        <v>16276675.316754499</v>
      </c>
      <c r="CD119" s="8">
        <v>15133215.93750182</v>
      </c>
      <c r="CE119" s="8">
        <v>14002020.656469608</v>
      </c>
      <c r="CF119" s="8">
        <v>12886271.694578165</v>
      </c>
      <c r="CG119" s="8">
        <v>11792931.803970762</v>
      </c>
      <c r="CH119" s="8">
        <v>10725581.478930222</v>
      </c>
      <c r="CI119" s="8">
        <v>9689869.2362758219</v>
      </c>
      <c r="CJ119" s="8">
        <v>8691951.6407620702</v>
      </c>
      <c r="CK119" s="8">
        <v>7735550.4808522593</v>
      </c>
      <c r="CL119" s="8">
        <v>6826697.4734778386</v>
      </c>
      <c r="CM119" s="8">
        <v>5970361.1703035198</v>
      </c>
      <c r="CN119" s="8">
        <v>5170064.5042493809</v>
      </c>
      <c r="CO119" s="8">
        <v>4432343.5526833655</v>
      </c>
      <c r="CP119" s="8">
        <v>3756751.6116224499</v>
      </c>
      <c r="CQ119" s="8">
        <v>3146697.0546895182</v>
      </c>
      <c r="CR119" s="8">
        <v>2602340.3149888306</v>
      </c>
      <c r="CS119" s="8">
        <v>2121499.4107132759</v>
      </c>
      <c r="CT119" s="8">
        <v>1704706.0725077817</v>
      </c>
      <c r="CU119" s="8">
        <v>1347588.7328063061</v>
      </c>
      <c r="CV119" s="8">
        <v>1046989.9519685808</v>
      </c>
      <c r="CW119" s="8">
        <v>798392.53782800643</v>
      </c>
      <c r="CX119" s="8">
        <v>593871.46498773806</v>
      </c>
      <c r="CY119" s="8">
        <v>432419.57823979785</v>
      </c>
      <c r="CZ119" s="8">
        <v>304096.8774226656</v>
      </c>
      <c r="DA119" s="8">
        <v>209201.91024529785</v>
      </c>
      <c r="DB119" s="8">
        <v>139897.11527638175</v>
      </c>
      <c r="DC119" s="8">
        <v>91106.649872554437</v>
      </c>
      <c r="DD119" s="8">
        <v>57005.612986752669</v>
      </c>
      <c r="DE119" s="8">
        <v>33731.898470622175</v>
      </c>
      <c r="DF119" s="8">
        <v>15125.045694728431</v>
      </c>
      <c r="DG119" s="8">
        <v>6520.5795494844961</v>
      </c>
      <c r="DH119" s="8">
        <v>3416.1733037865979</v>
      </c>
      <c r="DI119" s="8">
        <v>1141.9762476134827</v>
      </c>
      <c r="DJ119" s="8">
        <v>23.218900000000001</v>
      </c>
      <c r="DK119" s="8">
        <v>3.4106000000000001</v>
      </c>
      <c r="DL119" s="8">
        <v>0</v>
      </c>
    </row>
    <row r="120" spans="6:116">
      <c r="P120" s="8">
        <f>SUM(P36:P117)+SUM(P30:P34)</f>
        <v>50969501.113642618</v>
      </c>
      <c r="Q120" s="8">
        <v>49664930.928324997</v>
      </c>
      <c r="R120" s="8">
        <v>48363602.785507128</v>
      </c>
      <c r="S120" s="8">
        <v>47065883.13411057</v>
      </c>
      <c r="T120" s="8">
        <v>45773987.484319963</v>
      </c>
      <c r="U120" s="8">
        <v>44487733.901360758</v>
      </c>
      <c r="V120" s="8">
        <v>43208758.187267721</v>
      </c>
      <c r="W120" s="8">
        <v>41937142.650213122</v>
      </c>
      <c r="X120" s="8">
        <v>40674177.161409013</v>
      </c>
      <c r="Y120" s="8">
        <v>39420821.331580363</v>
      </c>
      <c r="Z120" s="8">
        <v>38177895.498574913</v>
      </c>
      <c r="AA120" s="8">
        <v>36945665.839552119</v>
      </c>
      <c r="AB120" s="8">
        <v>35725816.083564341</v>
      </c>
      <c r="AC120" s="8">
        <v>34518939.816257618</v>
      </c>
      <c r="AD120" s="8">
        <v>33326662.903540753</v>
      </c>
      <c r="AE120" s="8">
        <v>32149981.316188253</v>
      </c>
      <c r="AF120" s="8">
        <v>30988713.333111189</v>
      </c>
      <c r="AG120" s="8">
        <v>29844301.042428683</v>
      </c>
      <c r="AH120" s="8">
        <v>28717331.335217256</v>
      </c>
      <c r="AI120" s="8">
        <v>27610004.351917103</v>
      </c>
      <c r="AJ120" s="8">
        <v>26521425.198248867</v>
      </c>
      <c r="AK120" s="8">
        <v>25452903.439250924</v>
      </c>
      <c r="AL120" s="8">
        <v>24405402.359566357</v>
      </c>
      <c r="AM120" s="8">
        <v>23379059.611698791</v>
      </c>
      <c r="AN120" s="8">
        <v>22375066.61262659</v>
      </c>
      <c r="AO120" s="8">
        <v>21393790.162096959</v>
      </c>
      <c r="AP120" s="8">
        <v>20435192.353441499</v>
      </c>
      <c r="AQ120" s="8">
        <v>19499355.788508546</v>
      </c>
      <c r="AR120" s="8">
        <v>18586785.579751816</v>
      </c>
      <c r="AS120" s="8">
        <v>17697350.641774829</v>
      </c>
      <c r="AT120" s="8">
        <v>16831607.647425294</v>
      </c>
      <c r="AU120" s="8">
        <v>16003699.116378617</v>
      </c>
      <c r="AV120" s="8">
        <v>15185091.402442846</v>
      </c>
      <c r="AW120" s="8">
        <v>14390247.396626083</v>
      </c>
      <c r="AX120" s="8">
        <v>13618248.951269234</v>
      </c>
      <c r="AY120" s="8">
        <v>12869201.999744829</v>
      </c>
      <c r="AZ120" s="8">
        <v>12143832.996159937</v>
      </c>
      <c r="BA120" s="8">
        <v>11441266.337981563</v>
      </c>
      <c r="BB120" s="8">
        <v>10759949.58801333</v>
      </c>
      <c r="BC120" s="8">
        <v>10101753.434868239</v>
      </c>
      <c r="BD120" s="8">
        <v>9465985.1404327471</v>
      </c>
      <c r="BE120" s="8">
        <v>8852661.7410990018</v>
      </c>
      <c r="BF120" s="8">
        <v>8261416.8966129664</v>
      </c>
      <c r="BG120" s="8">
        <v>7692709.0473219678</v>
      </c>
      <c r="BH120" s="8">
        <v>7146391.8426328888</v>
      </c>
      <c r="BI120" s="8">
        <v>6622139.1260099038</v>
      </c>
      <c r="BJ120" s="8">
        <v>6120312.0746082729</v>
      </c>
      <c r="BK120" s="8">
        <v>5640587.69987226</v>
      </c>
      <c r="BL120" s="8">
        <v>5182898.8453632984</v>
      </c>
      <c r="BM120" s="8">
        <v>4747187.0180882402</v>
      </c>
      <c r="BN120" s="8">
        <v>4333176.5802552104</v>
      </c>
      <c r="BO120" s="8">
        <v>3940822.6262994697</v>
      </c>
      <c r="BP120" s="8">
        <v>3569743.7987552444</v>
      </c>
      <c r="BQ120" s="8">
        <v>3220770.6080522225</v>
      </c>
      <c r="BR120" s="8">
        <v>2893261.6849396033</v>
      </c>
      <c r="BS120" s="8">
        <v>2586095.2085858877</v>
      </c>
      <c r="BT120" s="8">
        <v>2300227.6362404195</v>
      </c>
      <c r="BU120" s="8">
        <v>2034855.4413138584</v>
      </c>
      <c r="BV120" s="8">
        <v>1788998.3022172591</v>
      </c>
      <c r="BW120" s="8">
        <v>1562976.9612160972</v>
      </c>
      <c r="BX120" s="8">
        <v>1355747.9919897565</v>
      </c>
      <c r="BY120" s="8">
        <v>1166940.9822881294</v>
      </c>
      <c r="BZ120" s="8">
        <v>996331.17215292086</v>
      </c>
      <c r="CA120" s="8">
        <v>842384.02226235322</v>
      </c>
      <c r="CB120" s="8">
        <v>705349.19087942399</v>
      </c>
      <c r="CC120" s="8">
        <v>583988.82881598268</v>
      </c>
      <c r="CD120" s="8">
        <v>478009.96316294413</v>
      </c>
      <c r="CE120" s="8">
        <v>386185.10641018976</v>
      </c>
      <c r="CF120" s="8">
        <v>307408.2948688296</v>
      </c>
      <c r="CG120" s="8">
        <v>240263.11446892985</v>
      </c>
      <c r="CH120" s="8">
        <v>184817.95984890606</v>
      </c>
      <c r="CI120" s="8">
        <v>139388.20129291445</v>
      </c>
      <c r="CJ120" s="8">
        <v>102668.34754806366</v>
      </c>
      <c r="CK120" s="8">
        <v>73724.0819600135</v>
      </c>
      <c r="CL120" s="8">
        <v>51483.288571906538</v>
      </c>
      <c r="CM120" s="8">
        <v>34756.100577001533</v>
      </c>
      <c r="CN120" s="8">
        <v>21974.260712108429</v>
      </c>
      <c r="CO120" s="8">
        <v>13305.670061620467</v>
      </c>
      <c r="CP120" s="8">
        <v>6375.0626778627238</v>
      </c>
      <c r="CQ120" s="8">
        <v>2714.7086460760042</v>
      </c>
      <c r="CR120" s="8">
        <v>1433.2322377138064</v>
      </c>
      <c r="CS120" s="8">
        <v>506.98071190905972</v>
      </c>
      <c r="CT120" s="8">
        <v>40.125762071236927</v>
      </c>
    </row>
    <row r="130" spans="1:11">
      <c r="B130" s="8" t="s">
        <v>300</v>
      </c>
    </row>
    <row r="131" spans="1:11">
      <c r="A131" s="8" t="s">
        <v>299</v>
      </c>
      <c r="B131" s="9">
        <f>D234</f>
        <v>1.9E-2</v>
      </c>
      <c r="D131" s="8" t="s">
        <v>298</v>
      </c>
      <c r="F131" s="8" t="s">
        <v>298</v>
      </c>
      <c r="G131" s="8" t="s">
        <v>297</v>
      </c>
      <c r="I131" s="8" t="s">
        <v>296</v>
      </c>
      <c r="J131" s="8" t="s">
        <v>295</v>
      </c>
    </row>
    <row r="132" spans="1:11">
      <c r="A132" s="8" t="s">
        <v>109</v>
      </c>
      <c r="D132" s="8" t="s">
        <v>294</v>
      </c>
      <c r="E132" s="8" t="s">
        <v>291</v>
      </c>
      <c r="F132" s="8" t="s">
        <v>58</v>
      </c>
      <c r="H132" s="8" t="s">
        <v>293</v>
      </c>
      <c r="J132" s="8" t="s">
        <v>292</v>
      </c>
    </row>
    <row r="133" spans="1:11">
      <c r="B133" s="8">
        <f>F133</f>
        <v>102947495.91339652</v>
      </c>
      <c r="C133" s="8">
        <v>1787</v>
      </c>
      <c r="D133" s="8">
        <v>71744415</v>
      </c>
      <c r="E133" s="8">
        <f>LN(F133)</f>
        <v>18.449729667814392</v>
      </c>
      <c r="F133" s="8">
        <v>102947495.91339652</v>
      </c>
      <c r="J133" s="8">
        <v>50969501.113642618</v>
      </c>
    </row>
    <row r="134" spans="1:11">
      <c r="B134" s="8">
        <f t="shared" ref="B134:B165" si="27">B133*(1-$B$131)</f>
        <v>100991493.49104199</v>
      </c>
      <c r="C134" s="8">
        <v>1788</v>
      </c>
      <c r="D134" s="8">
        <v>70197555.816899851</v>
      </c>
      <c r="E134" s="8">
        <v>18.426822378008129</v>
      </c>
      <c r="F134" s="8">
        <v>100615639.04044791</v>
      </c>
      <c r="I134" s="9">
        <f t="shared" ref="I134:I165" si="28">(-F134+F133)/F133</f>
        <v>2.2650933393370407E-2</v>
      </c>
      <c r="J134" s="8">
        <v>49664930.928324997</v>
      </c>
      <c r="K134" s="9">
        <f t="shared" ref="K134:K165" si="29">(J133-J134)/J133</f>
        <v>2.5595113878178342E-2</v>
      </c>
    </row>
    <row r="135" spans="1:11">
      <c r="B135" s="8">
        <f t="shared" si="27"/>
        <v>99072655.114712194</v>
      </c>
      <c r="C135" s="8">
        <v>1789</v>
      </c>
      <c r="D135" s="8">
        <v>68704935.574835718</v>
      </c>
      <c r="E135" s="8">
        <v>18.406822775819624</v>
      </c>
      <c r="F135" s="8">
        <v>98623112.680603191</v>
      </c>
      <c r="I135" s="9">
        <f t="shared" si="28"/>
        <v>1.980334646628553E-2</v>
      </c>
      <c r="J135" s="8">
        <v>48363602.785507128</v>
      </c>
      <c r="K135" s="9">
        <f t="shared" si="29"/>
        <v>2.6202153481214123E-2</v>
      </c>
    </row>
    <row r="136" spans="1:11">
      <c r="B136" s="8">
        <f t="shared" si="27"/>
        <v>97190274.667532668</v>
      </c>
      <c r="C136" s="8">
        <v>1790</v>
      </c>
      <c r="D136" s="8">
        <v>67251423.688015729</v>
      </c>
      <c r="E136" s="8">
        <v>18.38809314359402</v>
      </c>
      <c r="F136" s="8">
        <v>96792866.090905815</v>
      </c>
      <c r="I136" s="9">
        <f t="shared" si="28"/>
        <v>1.8557988487188985E-2</v>
      </c>
      <c r="J136" s="8">
        <v>47065883.13411057</v>
      </c>
      <c r="K136" s="9">
        <f t="shared" si="29"/>
        <v>2.6832567812450869E-2</v>
      </c>
    </row>
    <row r="137" spans="1:11">
      <c r="B137" s="8">
        <f t="shared" si="27"/>
        <v>95343659.448849544</v>
      </c>
      <c r="C137" s="8">
        <v>1791</v>
      </c>
      <c r="D137" s="8">
        <v>65821703.750061959</v>
      </c>
      <c r="E137" s="8">
        <v>18.370087331004243</v>
      </c>
      <c r="F137" s="8">
        <v>95065366.002566949</v>
      </c>
      <c r="I137" s="9">
        <f t="shared" si="28"/>
        <v>1.7847390599183572E-2</v>
      </c>
      <c r="J137" s="8">
        <v>45773987.484319963</v>
      </c>
      <c r="K137" s="9">
        <f t="shared" si="29"/>
        <v>2.7448664802686297E-2</v>
      </c>
    </row>
    <row r="138" spans="1:11">
      <c r="B138" s="8">
        <f t="shared" si="27"/>
        <v>93532129.919321403</v>
      </c>
      <c r="C138" s="8">
        <v>1792</v>
      </c>
      <c r="D138" s="8">
        <v>64408602.378536887</v>
      </c>
      <c r="E138" s="8">
        <v>18.352069057432374</v>
      </c>
      <c r="F138" s="8">
        <v>93367545.070121422</v>
      </c>
      <c r="I138" s="9">
        <f t="shared" si="28"/>
        <v>1.7859510817006496E-2</v>
      </c>
      <c r="J138" s="8">
        <v>44487733.901360758</v>
      </c>
      <c r="K138" s="9">
        <f t="shared" si="29"/>
        <v>2.8100099066086726E-2</v>
      </c>
    </row>
    <row r="139" spans="1:11">
      <c r="B139" s="8">
        <f t="shared" si="27"/>
        <v>91755019.450854301</v>
      </c>
      <c r="C139" s="8">
        <v>1793</v>
      </c>
      <c r="D139" s="8">
        <v>63006811.893461995</v>
      </c>
      <c r="E139" s="8">
        <v>18.33420498341928</v>
      </c>
      <c r="F139" s="8">
        <v>91714235.473196372</v>
      </c>
      <c r="I139" s="9">
        <f t="shared" si="28"/>
        <v>1.7707540620066343E-2</v>
      </c>
      <c r="J139" s="8">
        <v>43208758.187267721</v>
      </c>
      <c r="K139" s="9">
        <f t="shared" si="29"/>
        <v>2.8748951720688039E-2</v>
      </c>
    </row>
    <row r="140" spans="1:11">
      <c r="B140" s="8">
        <f t="shared" si="27"/>
        <v>90011674.081288069</v>
      </c>
      <c r="C140" s="8">
        <v>1794</v>
      </c>
      <c r="D140" s="8">
        <v>61610453.114918567</v>
      </c>
      <c r="E140" s="8">
        <v>18.316268113512567</v>
      </c>
      <c r="F140" s="8">
        <v>90083631.802205607</v>
      </c>
      <c r="I140" s="9">
        <f t="shared" si="28"/>
        <v>1.7779177491669889E-2</v>
      </c>
      <c r="J140" s="8">
        <v>41937142.650213122</v>
      </c>
      <c r="K140" s="9">
        <f t="shared" si="29"/>
        <v>2.9429578409622147E-2</v>
      </c>
    </row>
    <row r="141" spans="1:11">
      <c r="B141" s="8">
        <f t="shared" si="27"/>
        <v>88301452.2737436</v>
      </c>
      <c r="C141" s="8">
        <v>1795</v>
      </c>
      <c r="D141" s="8">
        <v>60216277.905568771</v>
      </c>
      <c r="E141" s="8">
        <v>18.298165174801312</v>
      </c>
      <c r="F141" s="8">
        <v>88467303.048873186</v>
      </c>
      <c r="I141" s="9">
        <f t="shared" si="28"/>
        <v>1.7942535408445277E-2</v>
      </c>
      <c r="J141" s="8">
        <v>40674177.161409013</v>
      </c>
      <c r="K141" s="9">
        <f t="shared" si="29"/>
        <v>3.0115678107547249E-2</v>
      </c>
    </row>
    <row r="142" spans="1:11">
      <c r="B142" s="8">
        <f t="shared" si="27"/>
        <v>86623724.680542469</v>
      </c>
      <c r="C142" s="8">
        <v>1796</v>
      </c>
      <c r="D142" s="8">
        <v>58823912.71990943</v>
      </c>
      <c r="E142" s="8">
        <v>18.279781936167272</v>
      </c>
      <c r="F142" s="8">
        <v>86855602.333868504</v>
      </c>
      <c r="I142" s="9">
        <f t="shared" si="28"/>
        <v>1.821803829731657E-2</v>
      </c>
      <c r="J142" s="8">
        <v>39420821.331580363</v>
      </c>
      <c r="K142" s="9">
        <f t="shared" si="29"/>
        <v>3.0814534363040859E-2</v>
      </c>
    </row>
    <row r="143" spans="1:11">
      <c r="B143" s="8">
        <f t="shared" si="27"/>
        <v>84977873.911612168</v>
      </c>
      <c r="C143" s="8">
        <v>1797</v>
      </c>
      <c r="D143" s="8">
        <v>57432790.803573772</v>
      </c>
      <c r="E143" s="8">
        <v>18.261157349978834</v>
      </c>
      <c r="F143" s="8">
        <v>85252650.575514033</v>
      </c>
      <c r="I143" s="9">
        <f t="shared" si="28"/>
        <v>1.8455364021226925E-2</v>
      </c>
      <c r="J143" s="8">
        <v>38177895.498574913</v>
      </c>
      <c r="K143" s="9">
        <f t="shared" si="29"/>
        <v>3.1529678759121438E-2</v>
      </c>
    </row>
    <row r="144" spans="1:11">
      <c r="B144" s="8">
        <f t="shared" si="27"/>
        <v>83363294.307291538</v>
      </c>
      <c r="C144" s="8">
        <v>1798</v>
      </c>
      <c r="D144" s="8">
        <v>56043651.475414664</v>
      </c>
      <c r="E144" s="8">
        <v>18.242155207674113</v>
      </c>
      <c r="F144" s="8">
        <v>83647634.077112377</v>
      </c>
      <c r="I144" s="9">
        <f t="shared" si="28"/>
        <v>1.8826587649377367E-2</v>
      </c>
      <c r="J144" s="8">
        <v>36945665.839552119</v>
      </c>
      <c r="K144" s="9">
        <f t="shared" si="29"/>
        <v>3.227599748311924E-2</v>
      </c>
    </row>
    <row r="145" spans="1:11">
      <c r="B145" s="8">
        <f t="shared" si="27"/>
        <v>81779391.715452999</v>
      </c>
      <c r="C145" s="8">
        <v>1799</v>
      </c>
      <c r="D145" s="8">
        <v>54659733.669366106</v>
      </c>
      <c r="E145" s="8">
        <v>18.222804375700868</v>
      </c>
      <c r="F145" s="8">
        <v>82044169.621879905</v>
      </c>
      <c r="I145" s="9">
        <f t="shared" si="28"/>
        <v>1.9169274456158354E-2</v>
      </c>
      <c r="J145" s="8">
        <v>35725816.083564341</v>
      </c>
      <c r="K145" s="9">
        <f t="shared" si="29"/>
        <v>3.3017398070056443E-2</v>
      </c>
    </row>
    <row r="146" spans="1:11">
      <c r="A146" s="8">
        <v>19903618</v>
      </c>
      <c r="B146" s="8">
        <f t="shared" si="27"/>
        <v>80225583.272859395</v>
      </c>
      <c r="C146" s="8">
        <v>1800</v>
      </c>
      <c r="D146" s="8">
        <v>53282687.240535371</v>
      </c>
      <c r="E146" s="8">
        <v>18.203081082150408</v>
      </c>
      <c r="F146" s="8">
        <v>80441411.09356761</v>
      </c>
      <c r="G146" s="8">
        <f t="shared" ref="G146:G177" si="30">A146/D146</f>
        <v>0.37354756358568397</v>
      </c>
      <c r="H146" s="8">
        <f t="shared" ref="H146:H177" si="31">A146/F146</f>
        <v>0.24742999568777538</v>
      </c>
      <c r="I146" s="9">
        <f t="shared" si="28"/>
        <v>1.9535312938128206E-2</v>
      </c>
      <c r="J146" s="8">
        <v>34518939.816257618</v>
      </c>
      <c r="K146" s="9">
        <f t="shared" si="29"/>
        <v>3.3781629074162593E-2</v>
      </c>
    </row>
    <row r="147" spans="1:11">
      <c r="A147" s="8">
        <v>20620237</v>
      </c>
      <c r="B147" s="8">
        <f t="shared" si="27"/>
        <v>78701297.190675065</v>
      </c>
      <c r="C147" s="8">
        <v>1801</v>
      </c>
      <c r="D147" s="8">
        <v>51915312.77409032</v>
      </c>
      <c r="E147" s="8">
        <v>18.182987757870531</v>
      </c>
      <c r="F147" s="8">
        <v>78840727.528431669</v>
      </c>
      <c r="G147" s="8">
        <f t="shared" si="30"/>
        <v>0.39718988287191948</v>
      </c>
      <c r="H147" s="8">
        <f t="shared" si="31"/>
        <v>0.26154295687547907</v>
      </c>
      <c r="I147" s="9">
        <f t="shared" si="28"/>
        <v>1.9898750449243888E-2</v>
      </c>
      <c r="J147" s="8">
        <v>33326662.903540753</v>
      </c>
      <c r="K147" s="9">
        <f t="shared" si="29"/>
        <v>3.4539789433374511E-2</v>
      </c>
    </row>
    <row r="148" spans="1:11">
      <c r="A148" s="8">
        <v>19992584</v>
      </c>
      <c r="B148" s="8">
        <f t="shared" si="27"/>
        <v>77205972.544052243</v>
      </c>
      <c r="C148" s="8">
        <v>1802</v>
      </c>
      <c r="D148" s="8">
        <v>50559432.952981085</v>
      </c>
      <c r="E148" s="8">
        <v>18.162484703432696</v>
      </c>
      <c r="F148" s="8">
        <v>77240148.680802345</v>
      </c>
      <c r="G148" s="8">
        <f t="shared" si="30"/>
        <v>0.39542737788599341</v>
      </c>
      <c r="H148" s="8">
        <f t="shared" si="31"/>
        <v>0.25883668456698683</v>
      </c>
      <c r="I148" s="9">
        <f t="shared" si="28"/>
        <v>2.0301421585082663E-2</v>
      </c>
      <c r="J148" s="8">
        <v>32149981.316188253</v>
      </c>
      <c r="K148" s="9">
        <f t="shared" si="29"/>
        <v>3.5307513109195346E-2</v>
      </c>
    </row>
    <row r="149" spans="1:11">
      <c r="A149" s="8">
        <v>19576824</v>
      </c>
      <c r="B149" s="8">
        <f t="shared" si="27"/>
        <v>75739059.065715253</v>
      </c>
      <c r="C149" s="8">
        <v>1803</v>
      </c>
      <c r="D149" s="8">
        <v>49217152.086688876</v>
      </c>
      <c r="E149" s="8">
        <v>18.141671254540626</v>
      </c>
      <c r="F149" s="8">
        <v>75648506.786059096</v>
      </c>
      <c r="G149" s="8">
        <f t="shared" si="30"/>
        <v>0.39776425839346136</v>
      </c>
      <c r="H149" s="8">
        <f t="shared" si="31"/>
        <v>0.25878665464428863</v>
      </c>
      <c r="I149" s="9">
        <f t="shared" si="28"/>
        <v>2.0606406408159122E-2</v>
      </c>
      <c r="J149" s="8">
        <v>30988713.333111189</v>
      </c>
      <c r="K149" s="9">
        <f t="shared" si="29"/>
        <v>3.612033150676635E-2</v>
      </c>
    </row>
    <row r="150" spans="1:11">
      <c r="A150" s="8">
        <v>19288550</v>
      </c>
      <c r="B150" s="8">
        <f t="shared" si="27"/>
        <v>74300016.943466663</v>
      </c>
      <c r="C150" s="8">
        <v>1804</v>
      </c>
      <c r="D150" s="8">
        <v>47890767.467105299</v>
      </c>
      <c r="E150" s="8">
        <v>18.120567093219154</v>
      </c>
      <c r="F150" s="8">
        <v>74068028.539711401</v>
      </c>
      <c r="G150" s="8">
        <f t="shared" si="30"/>
        <v>0.40276134670944069</v>
      </c>
      <c r="H150" s="8">
        <f t="shared" si="31"/>
        <v>0.26041667883273673</v>
      </c>
      <c r="I150" s="9">
        <f t="shared" si="28"/>
        <v>2.0892391846113141E-2</v>
      </c>
      <c r="J150" s="8">
        <v>29844301.042428683</v>
      </c>
      <c r="K150" s="9">
        <f t="shared" si="29"/>
        <v>3.6929971192437683E-2</v>
      </c>
    </row>
    <row r="151" spans="1:11">
      <c r="A151" s="8">
        <v>18236347</v>
      </c>
      <c r="B151" s="8">
        <f t="shared" si="27"/>
        <v>72888316.6215408</v>
      </c>
      <c r="C151" s="8">
        <v>1805</v>
      </c>
      <c r="D151" s="8">
        <v>46582679.354195461</v>
      </c>
      <c r="E151" s="8">
        <v>18.099199854524393</v>
      </c>
      <c r="F151" s="8">
        <v>72501412.569979981</v>
      </c>
      <c r="G151" s="8">
        <f t="shared" si="30"/>
        <v>0.39148342802135416</v>
      </c>
      <c r="H151" s="8">
        <f t="shared" si="31"/>
        <v>0.25153091993066856</v>
      </c>
      <c r="I151" s="9">
        <f t="shared" si="28"/>
        <v>2.1151041827601538E-2</v>
      </c>
      <c r="J151" s="8">
        <v>28717331.335217256</v>
      </c>
      <c r="K151" s="9">
        <f t="shared" si="29"/>
        <v>3.7761638498728815E-2</v>
      </c>
    </row>
    <row r="152" spans="1:11">
      <c r="A152" s="8">
        <v>17691614</v>
      </c>
      <c r="B152" s="8">
        <f t="shared" si="27"/>
        <v>71503438.605731517</v>
      </c>
      <c r="C152" s="8">
        <v>1806</v>
      </c>
      <c r="D152" s="8">
        <v>45294904.438541234</v>
      </c>
      <c r="E152" s="8">
        <v>18.077621190875654</v>
      </c>
      <c r="F152" s="8">
        <v>70952834.607170001</v>
      </c>
      <c r="G152" s="8">
        <f t="shared" si="30"/>
        <v>0.39058729054180946</v>
      </c>
      <c r="H152" s="8">
        <f t="shared" si="31"/>
        <v>0.24934330105272789</v>
      </c>
      <c r="I152" s="9">
        <f t="shared" si="28"/>
        <v>2.1359279880447266E-2</v>
      </c>
      <c r="J152" s="8">
        <v>27610004.351917103</v>
      </c>
      <c r="K152" s="9">
        <f t="shared" si="29"/>
        <v>3.8559536412848781E-2</v>
      </c>
    </row>
    <row r="153" spans="1:11">
      <c r="A153" s="8">
        <v>17151921</v>
      </c>
      <c r="B153" s="8">
        <f t="shared" si="27"/>
        <v>70144873.272222623</v>
      </c>
      <c r="C153" s="8">
        <v>1807</v>
      </c>
      <c r="D153" s="8">
        <v>44028702.709816605</v>
      </c>
      <c r="E153" s="8">
        <v>18.055852420595286</v>
      </c>
      <c r="F153" s="8">
        <v>69424033.054697186</v>
      </c>
      <c r="G153" s="8">
        <f t="shared" si="30"/>
        <v>0.38956226153299361</v>
      </c>
      <c r="H153" s="8">
        <f t="shared" si="31"/>
        <v>0.24706027934860106</v>
      </c>
      <c r="I153" s="9">
        <f t="shared" si="28"/>
        <v>2.1546729752757825E-2</v>
      </c>
      <c r="J153" s="8">
        <v>26521425.198248867</v>
      </c>
      <c r="K153" s="9">
        <f t="shared" si="29"/>
        <v>3.9426982328333117E-2</v>
      </c>
    </row>
    <row r="154" spans="1:11">
      <c r="A154" s="8">
        <v>16619139</v>
      </c>
      <c r="B154" s="8">
        <f t="shared" si="27"/>
        <v>68812120.680050388</v>
      </c>
      <c r="C154" s="8">
        <v>1808</v>
      </c>
      <c r="D154" s="8">
        <v>42785252.740521222</v>
      </c>
      <c r="E154" s="8">
        <v>18.033925550727396</v>
      </c>
      <c r="F154" s="8">
        <v>67917321.799367756</v>
      </c>
      <c r="G154" s="8">
        <f t="shared" si="30"/>
        <v>0.38843147896752478</v>
      </c>
      <c r="H154" s="8">
        <f t="shared" si="31"/>
        <v>0.24469661876677104</v>
      </c>
      <c r="I154" s="9">
        <f t="shared" si="28"/>
        <v>2.1703021115790491E-2</v>
      </c>
      <c r="J154" s="8">
        <v>25452903.439250924</v>
      </c>
      <c r="K154" s="9">
        <f t="shared" si="29"/>
        <v>4.028900223161818E-2</v>
      </c>
    </row>
    <row r="155" spans="1:11">
      <c r="A155" s="8">
        <v>16148814</v>
      </c>
      <c r="B155" s="8">
        <f t="shared" si="27"/>
        <v>67504690.387129426</v>
      </c>
      <c r="C155" s="8">
        <v>1809</v>
      </c>
      <c r="D155" s="8">
        <v>41566268.550228089</v>
      </c>
      <c r="E155" s="8">
        <v>18.011861086281392</v>
      </c>
      <c r="F155" s="8">
        <v>66434084.585327327</v>
      </c>
      <c r="G155" s="8">
        <f t="shared" si="30"/>
        <v>0.38850766651055058</v>
      </c>
      <c r="H155" s="8">
        <f t="shared" si="31"/>
        <v>0.24308025166296393</v>
      </c>
      <c r="I155" s="9">
        <f t="shared" si="28"/>
        <v>2.1838864883718601E-2</v>
      </c>
      <c r="J155" s="8">
        <v>24405402.359566357</v>
      </c>
      <c r="K155" s="9">
        <f t="shared" si="29"/>
        <v>4.1154482913301565E-2</v>
      </c>
    </row>
    <row r="156" spans="1:11">
      <c r="A156" s="8">
        <v>15923810</v>
      </c>
      <c r="B156" s="8">
        <f t="shared" si="27"/>
        <v>66222101.269773968</v>
      </c>
      <c r="C156" s="8">
        <v>1810</v>
      </c>
      <c r="D156" s="8">
        <v>40371983.509284817</v>
      </c>
      <c r="E156" s="8">
        <v>17.989695167739288</v>
      </c>
      <c r="F156" s="8">
        <v>64976526.408487543</v>
      </c>
      <c r="G156" s="8">
        <f t="shared" si="30"/>
        <v>0.39442723928433726</v>
      </c>
      <c r="H156" s="8">
        <f t="shared" si="31"/>
        <v>0.24507019504077332</v>
      </c>
      <c r="I156" s="9">
        <f t="shared" si="28"/>
        <v>2.1939915119440073E-2</v>
      </c>
      <c r="J156" s="8">
        <v>23379059.611698791</v>
      </c>
      <c r="K156" s="9">
        <f t="shared" si="29"/>
        <v>4.2053916290597966E-2</v>
      </c>
    </row>
    <row r="157" spans="1:11">
      <c r="A157" s="8">
        <v>15571875</v>
      </c>
      <c r="B157" s="8">
        <f t="shared" si="27"/>
        <v>64963881.345648259</v>
      </c>
      <c r="C157" s="8">
        <v>1811</v>
      </c>
      <c r="D157" s="8">
        <v>39204237.252413854</v>
      </c>
      <c r="E157" s="8">
        <v>17.967445582960039</v>
      </c>
      <c r="F157" s="8">
        <v>63545515.849665172</v>
      </c>
      <c r="G157" s="8">
        <f t="shared" si="30"/>
        <v>0.39719877470747683</v>
      </c>
      <c r="H157" s="8">
        <f t="shared" si="31"/>
        <v>0.24505072925742957</v>
      </c>
      <c r="I157" s="9">
        <f t="shared" si="28"/>
        <v>2.2023500453472157E-2</v>
      </c>
      <c r="J157" s="8">
        <v>22375066.61262659</v>
      </c>
      <c r="K157" s="9">
        <f t="shared" si="29"/>
        <v>4.2944113909945604E-2</v>
      </c>
    </row>
    <row r="158" spans="1:11">
      <c r="A158" s="8">
        <v>14962344.5</v>
      </c>
      <c r="B158" s="8">
        <f t="shared" si="27"/>
        <v>63729567.600080945</v>
      </c>
      <c r="C158" s="8">
        <v>1812</v>
      </c>
      <c r="D158" s="8">
        <v>38062873.869700059</v>
      </c>
      <c r="E158" s="8">
        <v>17.945168426199022</v>
      </c>
      <c r="F158" s="8">
        <v>62144203.631122865</v>
      </c>
      <c r="G158" s="8">
        <f t="shared" si="30"/>
        <v>0.39309550170121993</v>
      </c>
      <c r="H158" s="8">
        <f t="shared" si="31"/>
        <v>0.2407681428957375</v>
      </c>
      <c r="I158" s="9">
        <f t="shared" si="28"/>
        <v>2.2052102336496987E-2</v>
      </c>
      <c r="J158" s="8">
        <v>21393790.162096959</v>
      </c>
      <c r="K158" s="9">
        <f t="shared" si="29"/>
        <v>4.38558001867973E-2</v>
      </c>
    </row>
    <row r="159" spans="1:11">
      <c r="A159" s="8">
        <v>14352814</v>
      </c>
      <c r="B159" s="8">
        <f t="shared" si="27"/>
        <v>62518705.815679409</v>
      </c>
      <c r="C159" s="8">
        <v>1813</v>
      </c>
      <c r="D159" s="8">
        <v>36947956.331145547</v>
      </c>
      <c r="E159" s="8">
        <v>17.922813950443562</v>
      </c>
      <c r="F159" s="8">
        <v>60768997.207716078</v>
      </c>
      <c r="G159" s="8">
        <f t="shared" si="30"/>
        <v>0.38846029456576986</v>
      </c>
      <c r="H159" s="8">
        <f t="shared" si="31"/>
        <v>0.23618645459855583</v>
      </c>
      <c r="I159" s="9">
        <f t="shared" si="28"/>
        <v>2.2129279048610426E-2</v>
      </c>
      <c r="J159" s="8">
        <v>20435192.353441499</v>
      </c>
      <c r="K159" s="9">
        <f t="shared" si="29"/>
        <v>4.4807292274642953E-2</v>
      </c>
    </row>
    <row r="160" spans="1:11">
      <c r="A160" s="8">
        <v>13946412</v>
      </c>
      <c r="B160" s="8">
        <f t="shared" si="27"/>
        <v>61330850.405181497</v>
      </c>
      <c r="C160" s="8">
        <v>1814</v>
      </c>
      <c r="D160" s="8">
        <v>35859410.421854533</v>
      </c>
      <c r="E160" s="8">
        <v>17.900414284688917</v>
      </c>
      <c r="F160" s="8">
        <v>59421414.75093513</v>
      </c>
      <c r="G160" s="8">
        <f t="shared" si="30"/>
        <v>0.3889191661528365</v>
      </c>
      <c r="H160" s="8">
        <f t="shared" si="31"/>
        <v>0.23470346605607403</v>
      </c>
      <c r="I160" s="9">
        <f t="shared" si="28"/>
        <v>2.2175492746321638E-2</v>
      </c>
      <c r="J160" s="8">
        <v>19499355.788508546</v>
      </c>
      <c r="K160" s="9">
        <f t="shared" si="29"/>
        <v>4.57953391750359E-2</v>
      </c>
    </row>
    <row r="161" spans="1:11">
      <c r="A161" s="8">
        <v>13522678</v>
      </c>
      <c r="B161" s="8">
        <f t="shared" si="27"/>
        <v>60165564.247483045</v>
      </c>
      <c r="C161" s="8">
        <v>1815</v>
      </c>
      <c r="D161" s="8">
        <v>34796557.767334819</v>
      </c>
      <c r="E161" s="8">
        <v>17.877925688822021</v>
      </c>
      <c r="F161" s="8">
        <v>58098444.768932723</v>
      </c>
      <c r="G161" s="8">
        <f t="shared" si="30"/>
        <v>0.38862114150539279</v>
      </c>
      <c r="H161" s="8">
        <f t="shared" si="31"/>
        <v>0.2327545608799334</v>
      </c>
      <c r="I161" s="9">
        <f t="shared" si="28"/>
        <v>2.2264195282923442E-2</v>
      </c>
      <c r="J161" s="8">
        <v>18586785.579751816</v>
      </c>
      <c r="K161" s="9">
        <f t="shared" si="29"/>
        <v>4.6800018352120651E-2</v>
      </c>
    </row>
    <row r="162" spans="1:11">
      <c r="A162" s="8">
        <v>12965150</v>
      </c>
      <c r="B162" s="8">
        <f t="shared" si="27"/>
        <v>59022418.526780866</v>
      </c>
      <c r="C162" s="8">
        <v>1816</v>
      </c>
      <c r="D162" s="8">
        <v>33759297.455644652</v>
      </c>
      <c r="E162" s="8">
        <v>17.855418690910717</v>
      </c>
      <c r="F162" s="8">
        <v>56803789.158818103</v>
      </c>
      <c r="G162" s="8">
        <f t="shared" si="30"/>
        <v>0.38404679531718716</v>
      </c>
      <c r="H162" s="8">
        <f t="shared" si="31"/>
        <v>0.22824445678704017</v>
      </c>
      <c r="I162" s="9">
        <f t="shared" si="28"/>
        <v>2.2283825587133734E-2</v>
      </c>
      <c r="J162" s="8">
        <v>17697350.641774829</v>
      </c>
      <c r="K162" s="9">
        <f t="shared" si="29"/>
        <v>4.7853080036922797E-2</v>
      </c>
    </row>
    <row r="163" spans="1:11">
      <c r="A163" s="8">
        <v>12941141</v>
      </c>
      <c r="B163" s="8">
        <f t="shared" si="27"/>
        <v>57900992.57477203</v>
      </c>
      <c r="C163" s="8">
        <v>1817</v>
      </c>
      <c r="D163" s="8">
        <v>32747999.131831374</v>
      </c>
      <c r="E163" s="8">
        <v>17.832835599441708</v>
      </c>
      <c r="F163" s="8">
        <v>55533651.570919633</v>
      </c>
      <c r="G163" s="8">
        <f t="shared" si="30"/>
        <v>0.39517348671910418</v>
      </c>
      <c r="H163" s="8">
        <f t="shared" si="31"/>
        <v>0.23303241609231165</v>
      </c>
      <c r="I163" s="9">
        <f t="shared" si="28"/>
        <v>2.2360085598291411E-2</v>
      </c>
      <c r="J163" s="8">
        <v>16831607.647425294</v>
      </c>
      <c r="K163" s="9">
        <f t="shared" si="29"/>
        <v>4.891935588968542E-2</v>
      </c>
    </row>
    <row r="164" spans="1:11">
      <c r="A164" s="8">
        <v>12305205</v>
      </c>
      <c r="B164" s="8">
        <f t="shared" si="27"/>
        <v>56800873.715851359</v>
      </c>
      <c r="C164" s="8">
        <v>1818</v>
      </c>
      <c r="D164" s="8">
        <v>31776175.542664267</v>
      </c>
      <c r="E164" s="8">
        <v>17.810478219217121</v>
      </c>
      <c r="F164" s="8">
        <v>54304088.085082494</v>
      </c>
      <c r="G164" s="8">
        <f t="shared" si="30"/>
        <v>0.38724625572005739</v>
      </c>
      <c r="H164" s="8">
        <f t="shared" si="31"/>
        <v>0.22659813347239099</v>
      </c>
      <c r="I164" s="9">
        <f t="shared" si="28"/>
        <v>2.2140872264935014E-2</v>
      </c>
      <c r="J164" s="8">
        <v>16003699.116378617</v>
      </c>
      <c r="K164" s="9">
        <f t="shared" si="29"/>
        <v>4.9187727541481832E-2</v>
      </c>
    </row>
    <row r="165" spans="1:11">
      <c r="A165" s="8">
        <v>11844158</v>
      </c>
      <c r="B165" s="8">
        <f t="shared" si="27"/>
        <v>55721657.115250185</v>
      </c>
      <c r="C165" s="8">
        <v>1819</v>
      </c>
      <c r="D165" s="8">
        <v>30814200.786668975</v>
      </c>
      <c r="E165" s="8">
        <v>17.787737747575083</v>
      </c>
      <c r="F165" s="8">
        <v>53081313.952611081</v>
      </c>
      <c r="G165" s="8">
        <f t="shared" si="30"/>
        <v>0.38437336350206724</v>
      </c>
      <c r="H165" s="8">
        <f t="shared" si="31"/>
        <v>0.22313234390870582</v>
      </c>
      <c r="I165" s="9">
        <f t="shared" si="28"/>
        <v>2.251716538459491E-2</v>
      </c>
      <c r="J165" s="8">
        <v>15185091.402442846</v>
      </c>
      <c r="K165" s="9">
        <f t="shared" si="29"/>
        <v>5.1151156240995865E-2</v>
      </c>
    </row>
    <row r="166" spans="1:11">
      <c r="A166" s="8">
        <v>11234945</v>
      </c>
      <c r="B166" s="8">
        <f t="shared" ref="B166:B197" si="32">B165*(1-$B$131)</f>
        <v>54662945.630060434</v>
      </c>
      <c r="C166" s="8">
        <v>1820</v>
      </c>
      <c r="D166" s="8">
        <v>29876375.847641222</v>
      </c>
      <c r="E166" s="8">
        <v>17.764907184951483</v>
      </c>
      <c r="F166" s="8">
        <v>51881333.208677433</v>
      </c>
      <c r="G166" s="8">
        <f t="shared" si="30"/>
        <v>0.37604778629423397</v>
      </c>
      <c r="H166" s="8">
        <f t="shared" si="31"/>
        <v>0.2165508151999628</v>
      </c>
      <c r="I166" s="9">
        <f t="shared" ref="I166:I197" si="33">(-F166+F165)/F165</f>
        <v>2.2606462699942653E-2</v>
      </c>
      <c r="J166" s="8">
        <v>14390247.396626083</v>
      </c>
      <c r="K166" s="9">
        <f t="shared" ref="K166:K197" si="34">(J165-J166)/J165</f>
        <v>5.2343709020341862E-2</v>
      </c>
    </row>
    <row r="167" spans="1:11">
      <c r="A167" s="8">
        <v>10659724</v>
      </c>
      <c r="B167" s="8">
        <f t="shared" si="32"/>
        <v>53624349.663089283</v>
      </c>
      <c r="C167" s="8">
        <v>1821</v>
      </c>
      <c r="D167" s="8">
        <v>28961321.433733985</v>
      </c>
      <c r="E167" s="8">
        <v>17.741904877124455</v>
      </c>
      <c r="F167" s="8">
        <v>50699703.080161288</v>
      </c>
      <c r="G167" s="8">
        <f t="shared" si="30"/>
        <v>0.36806759748136397</v>
      </c>
      <c r="H167" s="8">
        <f t="shared" si="31"/>
        <v>0.21025219779188672</v>
      </c>
      <c r="I167" s="9">
        <f t="shared" si="33"/>
        <v>2.2775631531352224E-2</v>
      </c>
      <c r="J167" s="8">
        <v>13618248.951269234</v>
      </c>
      <c r="K167" s="9">
        <f t="shared" si="34"/>
        <v>5.3647336566142095E-2</v>
      </c>
    </row>
    <row r="168" spans="1:11">
      <c r="A168" s="8">
        <v>9939555</v>
      </c>
      <c r="B168" s="8">
        <f t="shared" si="32"/>
        <v>52605487.019490585</v>
      </c>
      <c r="C168" s="8">
        <v>1822</v>
      </c>
      <c r="D168" s="8">
        <v>28067954.021070816</v>
      </c>
      <c r="E168" s="8">
        <v>17.718757935487183</v>
      </c>
      <c r="F168" s="8">
        <v>49537750.930850312</v>
      </c>
      <c r="G168" s="8">
        <f t="shared" si="30"/>
        <v>0.35412467159303113</v>
      </c>
      <c r="H168" s="8">
        <f t="shared" si="31"/>
        <v>0.20064606917408528</v>
      </c>
      <c r="I168" s="9">
        <f t="shared" si="33"/>
        <v>2.2918322568355361E-2</v>
      </c>
      <c r="J168" s="8">
        <v>12869201.999744829</v>
      </c>
      <c r="K168" s="9">
        <f t="shared" si="34"/>
        <v>5.5003176561447202E-2</v>
      </c>
    </row>
    <row r="169" spans="1:11">
      <c r="A169" s="8">
        <v>9655930</v>
      </c>
      <c r="B169" s="8">
        <f t="shared" si="32"/>
        <v>51605982.766120262</v>
      </c>
      <c r="C169" s="8">
        <v>1823</v>
      </c>
      <c r="D169" s="8">
        <v>27196312.024584264</v>
      </c>
      <c r="E169" s="8">
        <v>17.695395942815665</v>
      </c>
      <c r="F169" s="8">
        <v>48391998.723556302</v>
      </c>
      <c r="G169" s="8">
        <f t="shared" si="30"/>
        <v>0.35504556615144972</v>
      </c>
      <c r="H169" s="8">
        <f t="shared" si="31"/>
        <v>0.19953567231559041</v>
      </c>
      <c r="I169" s="9">
        <f t="shared" si="33"/>
        <v>2.3128870119545068E-2</v>
      </c>
      <c r="J169" s="8">
        <v>12143832.996159937</v>
      </c>
      <c r="K169" s="9">
        <f t="shared" si="34"/>
        <v>5.6364722816478773E-2</v>
      </c>
    </row>
    <row r="170" spans="1:11">
      <c r="A170" s="8">
        <v>9184026</v>
      </c>
      <c r="B170" s="8">
        <f t="shared" si="32"/>
        <v>50625469.093563974</v>
      </c>
      <c r="C170" s="8">
        <v>1824</v>
      </c>
      <c r="D170" s="8">
        <v>26345233.935191069</v>
      </c>
      <c r="E170" s="8">
        <v>17.671794876826201</v>
      </c>
      <c r="F170" s="8">
        <v>47261411.051030189</v>
      </c>
      <c r="G170" s="8">
        <f t="shared" si="30"/>
        <v>0.34860293981797935</v>
      </c>
      <c r="H170" s="8">
        <f t="shared" si="31"/>
        <v>0.19432399066721917</v>
      </c>
      <c r="I170" s="9">
        <f t="shared" si="33"/>
        <v>2.3363111719867134E-2</v>
      </c>
      <c r="J170" s="8">
        <v>11441266.337981563</v>
      </c>
      <c r="K170" s="9">
        <f t="shared" si="34"/>
        <v>5.7853781289691347E-2</v>
      </c>
    </row>
    <row r="171" spans="1:11">
      <c r="A171" s="8">
        <v>9791793</v>
      </c>
      <c r="B171" s="8">
        <f t="shared" si="32"/>
        <v>49663585.180786259</v>
      </c>
      <c r="C171" s="8">
        <v>1825</v>
      </c>
      <c r="D171" s="8">
        <v>25528180.441276882</v>
      </c>
      <c r="E171" s="8">
        <v>17.648241882184095</v>
      </c>
      <c r="F171" s="8">
        <v>46143617.662035502</v>
      </c>
      <c r="G171" s="8">
        <f t="shared" si="30"/>
        <v>0.38356799547560033</v>
      </c>
      <c r="H171" s="8">
        <f t="shared" si="31"/>
        <v>0.21220254275936762</v>
      </c>
      <c r="I171" s="9">
        <f t="shared" si="33"/>
        <v>2.3651291066780811E-2</v>
      </c>
      <c r="J171" s="8">
        <v>10759949.58801333</v>
      </c>
      <c r="K171" s="9">
        <f t="shared" si="34"/>
        <v>5.9549068244873028E-2</v>
      </c>
    </row>
    <row r="172" spans="1:11">
      <c r="A172" s="8">
        <v>8376632</v>
      </c>
      <c r="B172" s="8">
        <f t="shared" si="32"/>
        <v>48719977.062351316</v>
      </c>
      <c r="C172" s="8">
        <v>1826</v>
      </c>
      <c r="D172" s="8">
        <v>24681162.961439565</v>
      </c>
      <c r="E172" s="8">
        <v>17.6232932546868</v>
      </c>
      <c r="F172" s="8">
        <v>45037336.526095912</v>
      </c>
      <c r="G172" s="8">
        <f t="shared" si="30"/>
        <v>0.33939373169275572</v>
      </c>
      <c r="H172" s="8">
        <f t="shared" si="31"/>
        <v>0.18599305922867668</v>
      </c>
      <c r="I172" s="9">
        <f t="shared" si="33"/>
        <v>2.3974737829231353E-2</v>
      </c>
      <c r="J172" s="8">
        <v>10101753.434868239</v>
      </c>
      <c r="K172" s="9">
        <f t="shared" si="34"/>
        <v>6.1170932796778842E-2</v>
      </c>
    </row>
    <row r="173" spans="1:11">
      <c r="A173" s="8">
        <v>7896438</v>
      </c>
      <c r="B173" s="8">
        <f t="shared" si="32"/>
        <v>47794297.498166643</v>
      </c>
      <c r="C173" s="8">
        <v>1827</v>
      </c>
      <c r="D173" s="8">
        <v>23885180.630714953</v>
      </c>
      <c r="E173" s="8">
        <v>17.59868751902485</v>
      </c>
      <c r="F173" s="8">
        <v>43941055.665826365</v>
      </c>
      <c r="G173" s="8">
        <f t="shared" si="30"/>
        <v>0.33059988626779069</v>
      </c>
      <c r="H173" s="8">
        <f t="shared" si="31"/>
        <v>0.17970524104046917</v>
      </c>
      <c r="I173" s="9">
        <f t="shared" si="33"/>
        <v>2.4341600654699688E-2</v>
      </c>
      <c r="J173" s="8">
        <v>9465985.1404327471</v>
      </c>
      <c r="K173" s="9">
        <f t="shared" si="34"/>
        <v>6.2936429653985548E-2</v>
      </c>
    </row>
    <row r="174" spans="1:11">
      <c r="A174" s="8">
        <v>7524946</v>
      </c>
      <c r="B174" s="8">
        <f t="shared" si="32"/>
        <v>46886205.845701478</v>
      </c>
      <c r="C174" s="8">
        <v>1828</v>
      </c>
      <c r="D174" s="8">
        <v>23106235.797730397</v>
      </c>
      <c r="E174" s="8">
        <v>17.573669788663217</v>
      </c>
      <c r="F174" s="8">
        <v>42853817.185996756</v>
      </c>
      <c r="G174" s="8">
        <f t="shared" si="30"/>
        <v>0.32566732486730421</v>
      </c>
      <c r="H174" s="8">
        <f t="shared" si="31"/>
        <v>0.17559569938285241</v>
      </c>
      <c r="I174" s="9">
        <f t="shared" si="33"/>
        <v>2.4743112411729596E-2</v>
      </c>
      <c r="J174" s="8">
        <v>8852661.7410990018</v>
      </c>
      <c r="K174" s="9">
        <f t="shared" si="34"/>
        <v>6.4792347572363351E-2</v>
      </c>
    </row>
    <row r="175" spans="1:11">
      <c r="A175" s="8">
        <v>7185556</v>
      </c>
      <c r="B175" s="8">
        <f t="shared" si="32"/>
        <v>45995367.934633151</v>
      </c>
      <c r="C175" s="8">
        <v>1829</v>
      </c>
      <c r="D175" s="8">
        <v>22343073.298616033</v>
      </c>
      <c r="E175" s="8">
        <v>17.548157783949001</v>
      </c>
      <c r="F175" s="8">
        <v>41772881.719328977</v>
      </c>
      <c r="G175" s="8">
        <f t="shared" si="30"/>
        <v>0.32160105747158274</v>
      </c>
      <c r="H175" s="8">
        <f t="shared" si="31"/>
        <v>0.17201485040652892</v>
      </c>
      <c r="I175" s="9">
        <f t="shared" si="33"/>
        <v>2.5223784895899392E-2</v>
      </c>
      <c r="J175" s="8">
        <v>8261416.8966129664</v>
      </c>
      <c r="K175" s="9">
        <f t="shared" si="34"/>
        <v>6.6787240016315821E-2</v>
      </c>
    </row>
    <row r="176" spans="1:11">
      <c r="A176" s="8">
        <v>6728117</v>
      </c>
      <c r="B176" s="8">
        <f t="shared" si="32"/>
        <v>45121455.943875119</v>
      </c>
      <c r="C176" s="8">
        <v>1830</v>
      </c>
      <c r="D176" s="8">
        <v>21595470.369511973</v>
      </c>
      <c r="E176" s="8">
        <v>17.522099138035539</v>
      </c>
      <c r="F176" s="8">
        <v>40697028.568583451</v>
      </c>
      <c r="G176" s="8">
        <f t="shared" si="30"/>
        <v>0.31155223224489764</v>
      </c>
      <c r="H176" s="8">
        <f t="shared" si="31"/>
        <v>0.16532206985730277</v>
      </c>
      <c r="I176" s="9">
        <f t="shared" si="33"/>
        <v>2.5754822422215405E-2</v>
      </c>
      <c r="J176" s="8">
        <v>7692709.0473219678</v>
      </c>
      <c r="K176" s="9">
        <f t="shared" si="34"/>
        <v>6.8839020764605005E-2</v>
      </c>
    </row>
    <row r="177" spans="1:11">
      <c r="A177" s="8">
        <v>6350938</v>
      </c>
      <c r="B177" s="8">
        <f t="shared" si="32"/>
        <v>44264148.280941494</v>
      </c>
      <c r="C177" s="8">
        <v>1831</v>
      </c>
      <c r="D177" s="8">
        <v>20862282.923650596</v>
      </c>
      <c r="E177" s="8">
        <v>17.495470551044708</v>
      </c>
      <c r="F177" s="8">
        <v>39626375.929628477</v>
      </c>
      <c r="G177" s="8">
        <f t="shared" si="30"/>
        <v>0.30442200516800766</v>
      </c>
      <c r="H177" s="8">
        <f t="shared" si="31"/>
        <v>0.16027047265887948</v>
      </c>
      <c r="I177" s="9">
        <f t="shared" si="33"/>
        <v>2.6307882334718598E-2</v>
      </c>
      <c r="J177" s="8">
        <v>7146391.8426328888</v>
      </c>
      <c r="K177" s="9">
        <f t="shared" si="34"/>
        <v>7.1017531188088567E-2</v>
      </c>
    </row>
    <row r="178" spans="1:11">
      <c r="A178" s="8">
        <v>5991089</v>
      </c>
      <c r="B178" s="8">
        <f t="shared" si="32"/>
        <v>43423129.463603608</v>
      </c>
      <c r="C178" s="8">
        <v>1832</v>
      </c>
      <c r="D178" s="8">
        <v>20142331.82627872</v>
      </c>
      <c r="E178" s="8">
        <v>17.468156493098853</v>
      </c>
      <c r="F178" s="8">
        <v>38557551.633029424</v>
      </c>
      <c r="G178" s="8">
        <f t="shared" ref="G178:G209" si="35">A178/D178</f>
        <v>0.29743770739511488</v>
      </c>
      <c r="H178" s="8">
        <f t="shared" ref="H178:H209" si="36">A178/F178</f>
        <v>0.1553804312322537</v>
      </c>
      <c r="I178" s="9">
        <f t="shared" si="33"/>
        <v>2.6972547237152145E-2</v>
      </c>
      <c r="J178" s="8">
        <v>6622139.1260099038</v>
      </c>
      <c r="K178" s="9">
        <f t="shared" si="34"/>
        <v>7.3359078002898689E-2</v>
      </c>
    </row>
    <row r="179" spans="1:11">
      <c r="A179" s="8">
        <v>5537271</v>
      </c>
      <c r="B179" s="8">
        <f t="shared" si="32"/>
        <v>42598090.003795139</v>
      </c>
      <c r="C179" s="8">
        <v>1833</v>
      </c>
      <c r="D179" s="8">
        <v>19435118.16101712</v>
      </c>
      <c r="E179" s="8">
        <v>17.440092191173846</v>
      </c>
      <c r="F179" s="8">
        <v>37489528.289924853</v>
      </c>
      <c r="G179" s="8">
        <f t="shared" si="35"/>
        <v>0.28491059092743953</v>
      </c>
      <c r="H179" s="8">
        <f t="shared" si="36"/>
        <v>0.14770180507947647</v>
      </c>
      <c r="I179" s="9">
        <f t="shared" si="33"/>
        <v>2.7699459583675274E-2</v>
      </c>
      <c r="J179" s="8">
        <v>6120312.0746082729</v>
      </c>
      <c r="K179" s="9">
        <f t="shared" si="34"/>
        <v>7.5780203624927656E-2</v>
      </c>
    </row>
    <row r="180" spans="1:11">
      <c r="A180" s="8">
        <v>5189338</v>
      </c>
      <c r="B180" s="8">
        <f t="shared" si="32"/>
        <v>41788726.293723032</v>
      </c>
      <c r="C180" s="8">
        <v>1834</v>
      </c>
      <c r="D180" s="8">
        <v>18739635.803799681</v>
      </c>
      <c r="E180" s="8">
        <v>17.41120721600705</v>
      </c>
      <c r="F180" s="8">
        <v>36421297.010884218</v>
      </c>
      <c r="G180" s="8">
        <f t="shared" si="35"/>
        <v>0.27691776160067105</v>
      </c>
      <c r="H180" s="8">
        <f t="shared" si="36"/>
        <v>0.1424808676761074</v>
      </c>
      <c r="I180" s="9">
        <f t="shared" si="33"/>
        <v>2.8494124299977313E-2</v>
      </c>
      <c r="J180" s="8">
        <v>5640587.69987226</v>
      </c>
      <c r="K180" s="9">
        <f t="shared" si="34"/>
        <v>7.8382338823256389E-2</v>
      </c>
    </row>
    <row r="181" spans="1:11">
      <c r="A181" s="8">
        <v>4692627</v>
      </c>
      <c r="B181" s="8">
        <f t="shared" si="32"/>
        <v>40994740.494142294</v>
      </c>
      <c r="C181" s="8">
        <v>1835</v>
      </c>
      <c r="D181" s="8">
        <v>18054726.058059864</v>
      </c>
      <c r="E181" s="8">
        <v>17.381406761071045</v>
      </c>
      <c r="F181" s="8">
        <v>35351239.299566142</v>
      </c>
      <c r="G181" s="8">
        <f t="shared" si="35"/>
        <v>0.25991128222658083</v>
      </c>
      <c r="H181" s="8">
        <f t="shared" si="36"/>
        <v>0.13274292763076037</v>
      </c>
      <c r="I181" s="9">
        <f t="shared" si="33"/>
        <v>2.9380000141079471E-2</v>
      </c>
      <c r="J181" s="8">
        <v>5182898.8453632984</v>
      </c>
      <c r="K181" s="9">
        <f t="shared" si="34"/>
        <v>8.1142050946096736E-2</v>
      </c>
    </row>
    <row r="182" spans="1:11">
      <c r="A182" s="8">
        <v>4404290</v>
      </c>
      <c r="B182" s="8">
        <f t="shared" si="32"/>
        <v>40215840.424753591</v>
      </c>
      <c r="C182" s="8">
        <v>1836</v>
      </c>
      <c r="D182" s="8">
        <v>17379519.639074694</v>
      </c>
      <c r="E182" s="8">
        <v>17.350631520639819</v>
      </c>
      <c r="F182" s="8">
        <v>34279325.860997334</v>
      </c>
      <c r="G182" s="8">
        <f t="shared" si="35"/>
        <v>0.25341839656475623</v>
      </c>
      <c r="H182" s="8">
        <f t="shared" si="36"/>
        <v>0.12848239833710254</v>
      </c>
      <c r="I182" s="9">
        <f t="shared" si="33"/>
        <v>3.0321806528066004E-2</v>
      </c>
      <c r="J182" s="8">
        <v>4747187.0180882402</v>
      </c>
      <c r="K182" s="9">
        <f t="shared" si="34"/>
        <v>8.406720645625812E-2</v>
      </c>
    </row>
    <row r="183" spans="1:11">
      <c r="A183" s="8">
        <v>4109375</v>
      </c>
      <c r="B183" s="8">
        <f t="shared" si="32"/>
        <v>39451739.456683271</v>
      </c>
      <c r="C183" s="8">
        <v>1837</v>
      </c>
      <c r="D183" s="8">
        <v>16713076.862569256</v>
      </c>
      <c r="E183" s="8">
        <v>17.31872371786941</v>
      </c>
      <c r="F183" s="8">
        <v>33202410.041852698</v>
      </c>
      <c r="G183" s="8">
        <f t="shared" si="35"/>
        <v>0.24587782571642389</v>
      </c>
      <c r="H183" s="8">
        <f t="shared" si="36"/>
        <v>0.12376737094747042</v>
      </c>
      <c r="I183" s="9">
        <f t="shared" si="33"/>
        <v>3.1415898419692674E-2</v>
      </c>
      <c r="J183" s="8">
        <v>4333176.5802552104</v>
      </c>
      <c r="K183" s="9">
        <f t="shared" si="34"/>
        <v>8.7211739553449838E-2</v>
      </c>
    </row>
    <row r="184" spans="1:11">
      <c r="A184" s="8">
        <v>3877273</v>
      </c>
      <c r="B184" s="8">
        <f t="shared" si="32"/>
        <v>38702156.407006286</v>
      </c>
      <c r="C184" s="8">
        <v>1838</v>
      </c>
      <c r="D184" s="8">
        <v>16054644.208848285</v>
      </c>
      <c r="E184" s="8">
        <v>17.285596647285509</v>
      </c>
      <c r="F184" s="8">
        <v>32120250.152368575</v>
      </c>
      <c r="G184" s="8">
        <f t="shared" si="35"/>
        <v>0.24150476021530873</v>
      </c>
      <c r="H184" s="8">
        <f t="shared" si="36"/>
        <v>0.12071117072897661</v>
      </c>
      <c r="I184" s="9">
        <f t="shared" si="33"/>
        <v>3.2592811429050642E-2</v>
      </c>
      <c r="J184" s="8">
        <v>3940822.6262994697</v>
      </c>
      <c r="K184" s="9">
        <f t="shared" si="34"/>
        <v>9.0546495553299661E-2</v>
      </c>
    </row>
    <row r="185" spans="1:11">
      <c r="A185" s="8">
        <v>3625664</v>
      </c>
      <c r="B185" s="8">
        <f t="shared" si="32"/>
        <v>37966815.435273163</v>
      </c>
      <c r="C185" s="8">
        <v>1839</v>
      </c>
      <c r="D185" s="8">
        <v>15402811.24726812</v>
      </c>
      <c r="E185" s="8">
        <v>17.251128727239156</v>
      </c>
      <c r="F185" s="8">
        <v>31031842.550942283</v>
      </c>
      <c r="G185" s="8">
        <f t="shared" si="35"/>
        <v>0.23538975722000466</v>
      </c>
      <c r="H185" s="8">
        <f t="shared" si="36"/>
        <v>0.11683689081781277</v>
      </c>
      <c r="I185" s="9">
        <f t="shared" si="33"/>
        <v>3.3885402394539944E-2</v>
      </c>
      <c r="J185" s="8">
        <v>3569743.7987552444</v>
      </c>
      <c r="K185" s="9">
        <f t="shared" si="34"/>
        <v>9.4162783442166137E-2</v>
      </c>
    </row>
    <row r="186" spans="1:11">
      <c r="A186" s="8">
        <v>3406695</v>
      </c>
      <c r="B186" s="8">
        <f t="shared" si="32"/>
        <v>37245445.942002974</v>
      </c>
      <c r="C186" s="8">
        <v>1840</v>
      </c>
      <c r="D186" s="8">
        <v>14757608.884532068</v>
      </c>
      <c r="E186" s="8">
        <v>17.215215440076886</v>
      </c>
      <c r="F186" s="8">
        <v>29937091.604549497</v>
      </c>
      <c r="G186" s="8">
        <f t="shared" si="35"/>
        <v>0.23084329085118038</v>
      </c>
      <c r="H186" s="8">
        <f t="shared" si="36"/>
        <v>0.11379512228510165</v>
      </c>
      <c r="I186" s="9">
        <f t="shared" si="33"/>
        <v>3.5278309516930173E-2</v>
      </c>
      <c r="J186" s="8">
        <v>3220770.6080522225</v>
      </c>
      <c r="K186" s="9">
        <f t="shared" si="34"/>
        <v>9.77586096864171E-2</v>
      </c>
    </row>
    <row r="187" spans="1:11">
      <c r="A187" s="8">
        <v>3174464</v>
      </c>
      <c r="B187" s="8">
        <f t="shared" si="32"/>
        <v>36537782.469104916</v>
      </c>
      <c r="C187" s="8">
        <v>1841</v>
      </c>
      <c r="D187" s="8">
        <v>14118034.577791434</v>
      </c>
      <c r="E187" s="8">
        <v>17.177696526423215</v>
      </c>
      <c r="F187" s="8">
        <v>28834738.601726267</v>
      </c>
      <c r="G187" s="8">
        <f t="shared" si="35"/>
        <v>0.22485169465398772</v>
      </c>
      <c r="H187" s="8">
        <f t="shared" si="36"/>
        <v>0.1100916517346182</v>
      </c>
      <c r="I187" s="9">
        <f t="shared" si="33"/>
        <v>3.6822314518211476E-2</v>
      </c>
      <c r="J187" s="8">
        <v>2893261.6849396033</v>
      </c>
      <c r="K187" s="9">
        <f t="shared" si="34"/>
        <v>0.10168651014568278</v>
      </c>
    </row>
    <row r="188" spans="1:11">
      <c r="A188" s="8">
        <v>2944464</v>
      </c>
      <c r="B188" s="8">
        <f t="shared" si="32"/>
        <v>35843564.602191925</v>
      </c>
      <c r="C188" s="8">
        <v>1842</v>
      </c>
      <c r="D188" s="8">
        <v>13482564.312467976</v>
      </c>
      <c r="E188" s="8">
        <v>17.138413010789254</v>
      </c>
      <c r="F188" s="8">
        <v>27724042.467535108</v>
      </c>
      <c r="G188" s="8">
        <f t="shared" si="35"/>
        <v>0.21839050285687217</v>
      </c>
      <c r="H188" s="8">
        <f t="shared" si="36"/>
        <v>0.1062061567481716</v>
      </c>
      <c r="I188" s="9">
        <f t="shared" si="33"/>
        <v>3.851937586577131E-2</v>
      </c>
      <c r="J188" s="8">
        <v>2586095.2085858877</v>
      </c>
      <c r="K188" s="9">
        <f t="shared" si="34"/>
        <v>0.1061661577148794</v>
      </c>
    </row>
    <row r="189" spans="1:11">
      <c r="A189" s="8">
        <v>2761130</v>
      </c>
      <c r="B189" s="8">
        <f t="shared" si="32"/>
        <v>35162536.874750279</v>
      </c>
      <c r="C189" s="8">
        <v>1843</v>
      </c>
      <c r="D189" s="8">
        <v>12851513.698386075</v>
      </c>
      <c r="E189" s="8">
        <v>17.097246807851985</v>
      </c>
      <c r="F189" s="8">
        <v>26606104.454010922</v>
      </c>
      <c r="G189" s="8">
        <f t="shared" si="35"/>
        <v>0.21484862132207427</v>
      </c>
      <c r="H189" s="8">
        <f t="shared" si="36"/>
        <v>0.10377806359336285</v>
      </c>
      <c r="I189" s="9">
        <f t="shared" si="33"/>
        <v>4.0323773664439191E-2</v>
      </c>
      <c r="J189" s="8">
        <v>2300227.6362404195</v>
      </c>
      <c r="K189" s="9">
        <f t="shared" si="34"/>
        <v>0.11054023509899488</v>
      </c>
    </row>
    <row r="190" spans="1:11">
      <c r="A190" s="8">
        <v>2575029</v>
      </c>
      <c r="B190" s="8">
        <f t="shared" si="32"/>
        <v>34494448.674130023</v>
      </c>
      <c r="C190" s="8">
        <v>1844</v>
      </c>
      <c r="D190" s="8">
        <v>12224170.044645632</v>
      </c>
      <c r="E190" s="8">
        <v>17.053978744651257</v>
      </c>
      <c r="F190" s="8">
        <v>25479738.224701162</v>
      </c>
      <c r="G190" s="8">
        <f t="shared" si="35"/>
        <v>0.21065062009080127</v>
      </c>
      <c r="H190" s="8">
        <f t="shared" si="36"/>
        <v>0.10106183106322715</v>
      </c>
      <c r="I190" s="9">
        <f t="shared" si="33"/>
        <v>4.2334879623460178E-2</v>
      </c>
      <c r="J190" s="8">
        <v>2034855.4413138584</v>
      </c>
      <c r="K190" s="9">
        <f t="shared" si="34"/>
        <v>0.11536779697173608</v>
      </c>
    </row>
    <row r="191" spans="1:11">
      <c r="A191" s="8">
        <v>2427573</v>
      </c>
      <c r="B191" s="8">
        <f t="shared" si="32"/>
        <v>33839054.149321549</v>
      </c>
      <c r="C191" s="8">
        <v>1845</v>
      </c>
      <c r="D191" s="8">
        <v>11599867.453874009</v>
      </c>
      <c r="E191" s="8">
        <v>17.008406192682653</v>
      </c>
      <c r="F191" s="8">
        <v>24344915.557315987</v>
      </c>
      <c r="G191" s="8">
        <f t="shared" si="35"/>
        <v>0.20927592575113979</v>
      </c>
      <c r="H191" s="8">
        <f t="shared" si="36"/>
        <v>9.9715811060617152E-2</v>
      </c>
      <c r="I191" s="9">
        <f t="shared" si="33"/>
        <v>4.453823886954339E-2</v>
      </c>
      <c r="J191" s="8">
        <v>1788998.3022172591</v>
      </c>
      <c r="K191" s="9">
        <f t="shared" si="34"/>
        <v>0.12082290176733887</v>
      </c>
    </row>
    <row r="192" spans="1:11">
      <c r="A192" s="8">
        <v>2280394</v>
      </c>
      <c r="B192" s="8">
        <f t="shared" si="32"/>
        <v>33196112.120484438</v>
      </c>
      <c r="C192" s="8">
        <v>1846</v>
      </c>
      <c r="D192" s="8">
        <v>10978546.756641148</v>
      </c>
      <c r="E192" s="8">
        <v>16.959480470878312</v>
      </c>
      <c r="F192" s="8">
        <v>23202773.789823718</v>
      </c>
      <c r="G192" s="8">
        <f t="shared" si="35"/>
        <v>0.20771364831329275</v>
      </c>
      <c r="H192" s="8">
        <f t="shared" si="36"/>
        <v>9.8281094349165099E-2</v>
      </c>
      <c r="I192" s="9">
        <f t="shared" si="33"/>
        <v>4.6915002223083854E-2</v>
      </c>
      <c r="J192" s="8">
        <v>1562976.9612160972</v>
      </c>
      <c r="K192" s="9">
        <f t="shared" si="34"/>
        <v>0.12633960620366952</v>
      </c>
    </row>
    <row r="193" spans="1:11">
      <c r="A193" s="8">
        <v>2114114</v>
      </c>
      <c r="B193" s="8">
        <f t="shared" si="32"/>
        <v>32565385.990195233</v>
      </c>
      <c r="C193" s="8">
        <v>1847</v>
      </c>
      <c r="D193" s="8">
        <v>10360402.125955019</v>
      </c>
      <c r="E193" s="8">
        <v>16.908720140547167</v>
      </c>
      <c r="F193" s="8">
        <v>22054124.105925731</v>
      </c>
      <c r="G193" s="8">
        <f t="shared" si="35"/>
        <v>0.20405713738694495</v>
      </c>
      <c r="H193" s="8">
        <f t="shared" si="36"/>
        <v>9.5860256786709466E-2</v>
      </c>
      <c r="I193" s="9">
        <f t="shared" si="33"/>
        <v>4.9504843442544022E-2</v>
      </c>
      <c r="J193" s="8">
        <v>1355747.9919897565</v>
      </c>
      <c r="K193" s="9">
        <f t="shared" si="34"/>
        <v>0.13258606772111547</v>
      </c>
    </row>
    <row r="194" spans="1:11">
      <c r="A194" s="8">
        <v>1964160</v>
      </c>
      <c r="B194" s="8">
        <f t="shared" si="32"/>
        <v>31946643.656381525</v>
      </c>
      <c r="C194" s="8">
        <v>1848</v>
      </c>
      <c r="D194" s="8">
        <v>9745813.5297149476</v>
      </c>
      <c r="E194" s="8">
        <v>16.85503455359412</v>
      </c>
      <c r="F194" s="8">
        <v>20901085.408453036</v>
      </c>
      <c r="G194" s="8">
        <f t="shared" si="35"/>
        <v>0.20153884475742162</v>
      </c>
      <c r="H194" s="8">
        <f t="shared" si="36"/>
        <v>9.3974066973844042E-2</v>
      </c>
      <c r="I194" s="9">
        <f t="shared" si="33"/>
        <v>5.2282225851938723E-2</v>
      </c>
      <c r="J194" s="8">
        <v>1166940.9822881294</v>
      </c>
      <c r="K194" s="9">
        <f t="shared" si="34"/>
        <v>0.13926408950421934</v>
      </c>
    </row>
    <row r="195" spans="1:11">
      <c r="A195" s="8">
        <v>1793227</v>
      </c>
      <c r="B195" s="8">
        <f t="shared" si="32"/>
        <v>31339657.426910274</v>
      </c>
      <c r="C195" s="8">
        <v>1849</v>
      </c>
      <c r="D195" s="8">
        <v>9135400.9153628703</v>
      </c>
      <c r="E195" s="8">
        <v>16.798085350935729</v>
      </c>
      <c r="F195" s="8">
        <v>19743771.892107856</v>
      </c>
      <c r="G195" s="8">
        <f t="shared" si="35"/>
        <v>0.1962942859994635</v>
      </c>
      <c r="H195" s="8">
        <f t="shared" si="36"/>
        <v>9.0824945192808051E-2</v>
      </c>
      <c r="I195" s="9">
        <f t="shared" si="33"/>
        <v>5.5370976852576644E-2</v>
      </c>
      <c r="J195" s="8">
        <v>996331.17215292086</v>
      </c>
      <c r="K195" s="9">
        <f t="shared" si="34"/>
        <v>0.14620260383749489</v>
      </c>
    </row>
    <row r="196" spans="1:11">
      <c r="A196" s="8">
        <v>1615119</v>
      </c>
      <c r="B196" s="8">
        <f t="shared" si="32"/>
        <v>30744203.935798977</v>
      </c>
      <c r="C196" s="8">
        <v>1850</v>
      </c>
      <c r="D196" s="8">
        <v>8529463.8739099037</v>
      </c>
      <c r="E196" s="8">
        <v>16.737597698359959</v>
      </c>
      <c r="F196" s="8">
        <v>18584650.870760016</v>
      </c>
      <c r="G196" s="8">
        <f t="shared" si="35"/>
        <v>0.18935762245741594</v>
      </c>
      <c r="H196" s="8">
        <f t="shared" si="36"/>
        <v>8.6906071641148344E-2</v>
      </c>
      <c r="I196" s="9">
        <f t="shared" si="33"/>
        <v>5.8708185430929379E-2</v>
      </c>
      <c r="J196" s="8">
        <v>842384.02226235322</v>
      </c>
      <c r="K196" s="9">
        <f t="shared" si="34"/>
        <v>0.15451403528598945</v>
      </c>
    </row>
    <row r="197" spans="1:11">
      <c r="A197" s="8">
        <v>1462263</v>
      </c>
      <c r="B197" s="8">
        <f t="shared" si="32"/>
        <v>30160064.061018795</v>
      </c>
      <c r="C197" s="8">
        <v>1851</v>
      </c>
      <c r="D197" s="8">
        <v>7930261.9859816972</v>
      </c>
      <c r="E197" s="8">
        <v>16.673386625874013</v>
      </c>
      <c r="F197" s="8">
        <v>17428550.538723681</v>
      </c>
      <c r="G197" s="8">
        <f t="shared" si="35"/>
        <v>0.18439025124073308</v>
      </c>
      <c r="H197" s="8">
        <f t="shared" si="36"/>
        <v>8.3900436628454339E-2</v>
      </c>
      <c r="I197" s="9">
        <f t="shared" si="33"/>
        <v>6.2207266635031302E-2</v>
      </c>
      <c r="J197" s="8">
        <v>705349.19087942399</v>
      </c>
      <c r="K197" s="9">
        <f t="shared" si="34"/>
        <v>0.16267501253751335</v>
      </c>
    </row>
    <row r="198" spans="1:11">
      <c r="A198" s="8">
        <v>1318072</v>
      </c>
      <c r="B198" s="8">
        <f t="shared" ref="B198:B232" si="37">B197*(1-$B$131)</f>
        <v>29587022.843859438</v>
      </c>
      <c r="C198" s="8">
        <v>1852</v>
      </c>
      <c r="D198" s="8">
        <v>7338943.9327915097</v>
      </c>
      <c r="E198" s="8">
        <v>16.605026063251668</v>
      </c>
      <c r="F198" s="8">
        <v>16276675.316754499</v>
      </c>
      <c r="G198" s="8">
        <f t="shared" si="35"/>
        <v>0.17959968247075103</v>
      </c>
      <c r="H198" s="8">
        <f t="shared" si="36"/>
        <v>8.097919104175004E-2</v>
      </c>
      <c r="I198" s="9">
        <f t="shared" ref="I198:I232" si="38">(-F198+F197)/F197</f>
        <v>6.6091280477391628E-2</v>
      </c>
      <c r="J198" s="8">
        <v>583988.82881598268</v>
      </c>
      <c r="K198" s="9">
        <f t="shared" ref="K198:K215" si="39">(J197-J198)/J197</f>
        <v>0.17205713656824378</v>
      </c>
    </row>
    <row r="199" spans="1:11">
      <c r="A199" s="8">
        <v>1239157</v>
      </c>
      <c r="B199" s="8">
        <f t="shared" si="37"/>
        <v>29024869.409826107</v>
      </c>
      <c r="C199" s="8">
        <v>1853</v>
      </c>
      <c r="D199" s="8">
        <v>6756849.7382271737</v>
      </c>
      <c r="E199" s="8">
        <v>16.532201474514306</v>
      </c>
      <c r="F199" s="8">
        <v>15133215.93750182</v>
      </c>
      <c r="G199" s="8">
        <f t="shared" si="35"/>
        <v>0.1833927122856403</v>
      </c>
      <c r="H199" s="8">
        <f t="shared" si="36"/>
        <v>8.188325634931494E-2</v>
      </c>
      <c r="I199" s="9">
        <f t="shared" si="38"/>
        <v>7.0251409271256546E-2</v>
      </c>
      <c r="J199" s="8">
        <v>478009.96316294413</v>
      </c>
      <c r="K199" s="9">
        <f t="shared" si="39"/>
        <v>0.18147413173623042</v>
      </c>
    </row>
    <row r="200" spans="1:11">
      <c r="A200" s="8">
        <v>1134548</v>
      </c>
      <c r="B200" s="8">
        <f t="shared" si="37"/>
        <v>28473396.891039412</v>
      </c>
      <c r="C200" s="8">
        <v>1854</v>
      </c>
      <c r="D200" s="8">
        <v>6186077.6061230022</v>
      </c>
      <c r="E200" s="8">
        <v>16.454527851391134</v>
      </c>
      <c r="F200" s="8">
        <v>14002020.656469608</v>
      </c>
      <c r="G200" s="8">
        <f t="shared" si="35"/>
        <v>0.18340345405253569</v>
      </c>
      <c r="H200" s="8">
        <f t="shared" si="36"/>
        <v>8.1027447954505352E-2</v>
      </c>
      <c r="I200" s="9">
        <f t="shared" si="38"/>
        <v>7.4749166714061233E-2</v>
      </c>
      <c r="J200" s="8">
        <v>386185.10641018976</v>
      </c>
      <c r="K200" s="9">
        <f t="shared" si="39"/>
        <v>0.19209820679292638</v>
      </c>
    </row>
    <row r="201" spans="1:11">
      <c r="A201" s="8">
        <v>1004638</v>
      </c>
      <c r="B201" s="8">
        <f t="shared" si="37"/>
        <v>27932402.350109663</v>
      </c>
      <c r="C201" s="8">
        <v>1855</v>
      </c>
      <c r="D201" s="8">
        <v>5629066.5635972535</v>
      </c>
      <c r="E201" s="8">
        <v>16.371505597834879</v>
      </c>
      <c r="F201" s="8">
        <v>12886271.694578165</v>
      </c>
      <c r="G201" s="8">
        <f t="shared" si="35"/>
        <v>0.17847328480656416</v>
      </c>
      <c r="H201" s="8">
        <f t="shared" si="36"/>
        <v>7.7961882522056117E-2</v>
      </c>
      <c r="I201" s="9">
        <f t="shared" si="38"/>
        <v>7.9684853298363958E-2</v>
      </c>
      <c r="J201" s="8">
        <v>307408.2948688296</v>
      </c>
      <c r="K201" s="9">
        <f t="shared" si="39"/>
        <v>0.20398718188185824</v>
      </c>
    </row>
    <row r="202" spans="1:11">
      <c r="A202" s="8">
        <v>912668</v>
      </c>
      <c r="B202" s="8">
        <f t="shared" si="37"/>
        <v>27401686.705457579</v>
      </c>
      <c r="C202" s="8">
        <v>1856</v>
      </c>
      <c r="D202" s="8">
        <v>5087926.3926685536</v>
      </c>
      <c r="E202" s="8">
        <v>16.282860402982823</v>
      </c>
      <c r="F202" s="8">
        <v>11792931.803970762</v>
      </c>
      <c r="G202" s="8">
        <f t="shared" si="35"/>
        <v>0.1793791673785039</v>
      </c>
      <c r="H202" s="8">
        <f t="shared" si="36"/>
        <v>7.7391103007370773E-2</v>
      </c>
      <c r="I202" s="9">
        <f t="shared" si="38"/>
        <v>8.4845323497829167E-2</v>
      </c>
      <c r="J202" s="8">
        <v>240263.11446892985</v>
      </c>
      <c r="K202" s="9">
        <f t="shared" si="39"/>
        <v>0.21842345024733453</v>
      </c>
    </row>
    <row r="203" spans="1:11">
      <c r="A203" s="8">
        <v>799119</v>
      </c>
      <c r="B203" s="8">
        <f t="shared" si="37"/>
        <v>26881054.658053886</v>
      </c>
      <c r="C203" s="8">
        <v>1857</v>
      </c>
      <c r="D203" s="8">
        <v>4565524.7413464906</v>
      </c>
      <c r="E203" s="8">
        <v>16.18800845105957</v>
      </c>
      <c r="F203" s="8">
        <v>10725581.478930222</v>
      </c>
      <c r="G203" s="8">
        <f t="shared" si="35"/>
        <v>0.17503333029016052</v>
      </c>
      <c r="H203" s="8">
        <f t="shared" si="36"/>
        <v>7.4505890572909503E-2</v>
      </c>
      <c r="I203" s="9">
        <f t="shared" si="38"/>
        <v>9.0507631417079459E-2</v>
      </c>
      <c r="J203" s="8">
        <v>184817.95984890606</v>
      </c>
      <c r="K203" s="9">
        <f t="shared" si="39"/>
        <v>0.23076848372076608</v>
      </c>
    </row>
    <row r="204" spans="1:11">
      <c r="A204" s="8">
        <v>693618</v>
      </c>
      <c r="B204" s="8">
        <f t="shared" si="37"/>
        <v>26370314.619550861</v>
      </c>
      <c r="C204" s="8">
        <v>1858</v>
      </c>
      <c r="D204" s="8">
        <v>4064684.6263257819</v>
      </c>
      <c r="E204" s="8">
        <v>16.086473999186573</v>
      </c>
      <c r="F204" s="8">
        <v>9689869.2362758219</v>
      </c>
      <c r="G204" s="8">
        <f t="shared" si="35"/>
        <v>0.17064497341506832</v>
      </c>
      <c r="H204" s="8">
        <f t="shared" si="36"/>
        <v>7.1581770928684202E-2</v>
      </c>
      <c r="I204" s="9">
        <f t="shared" si="38"/>
        <v>9.6564670613802722E-2</v>
      </c>
      <c r="J204" s="8">
        <v>139388.20129291445</v>
      </c>
      <c r="K204" s="9">
        <f t="shared" si="39"/>
        <v>0.24580813787324415</v>
      </c>
    </row>
    <row r="205" spans="1:11">
      <c r="A205" s="8">
        <v>613430</v>
      </c>
      <c r="B205" s="8">
        <f t="shared" si="37"/>
        <v>25869278.641779393</v>
      </c>
      <c r="C205" s="8">
        <v>1859</v>
      </c>
      <c r="D205" s="8">
        <v>3587721.6466641664</v>
      </c>
      <c r="E205" s="8">
        <v>15.977806639879722</v>
      </c>
      <c r="F205" s="8">
        <v>8691951.6407620702</v>
      </c>
      <c r="G205" s="8">
        <f t="shared" si="35"/>
        <v>0.17098037707868505</v>
      </c>
      <c r="H205" s="8">
        <f t="shared" si="36"/>
        <v>7.0574483769932403E-2</v>
      </c>
      <c r="I205" s="9">
        <f t="shared" si="38"/>
        <v>0.10298566174431562</v>
      </c>
      <c r="J205" s="8">
        <v>102668.34754806366</v>
      </c>
      <c r="K205" s="9">
        <f t="shared" si="39"/>
        <v>0.26343588197746109</v>
      </c>
    </row>
    <row r="206" spans="1:11">
      <c r="A206" s="8">
        <v>551650</v>
      </c>
      <c r="B206" s="8">
        <f t="shared" si="37"/>
        <v>25377762.347585585</v>
      </c>
      <c r="C206" s="8">
        <v>1860</v>
      </c>
      <c r="D206" s="8">
        <v>3137262.0710160737</v>
      </c>
      <c r="E206" s="8">
        <v>15.861250846594469</v>
      </c>
      <c r="F206" s="8">
        <v>7735550.4808522593</v>
      </c>
      <c r="G206" s="8">
        <f t="shared" si="35"/>
        <v>0.17583803568610881</v>
      </c>
      <c r="H206" s="8">
        <f t="shared" si="36"/>
        <v>7.1313606105408323E-2</v>
      </c>
      <c r="I206" s="9">
        <f t="shared" si="38"/>
        <v>0.1100329591601315</v>
      </c>
      <c r="J206" s="8">
        <v>73724.0819600135</v>
      </c>
      <c r="K206" s="9">
        <f t="shared" si="39"/>
        <v>0.28192004916120861</v>
      </c>
    </row>
    <row r="207" spans="1:11">
      <c r="A207" s="8">
        <v>483485</v>
      </c>
      <c r="B207" s="8">
        <f t="shared" si="37"/>
        <v>24895584.862981457</v>
      </c>
      <c r="C207" s="8">
        <v>1861</v>
      </c>
      <c r="D207" s="8">
        <v>2715969.00462054</v>
      </c>
      <c r="E207" s="8">
        <v>15.736279202694808</v>
      </c>
      <c r="F207" s="8">
        <v>6826697.4734778386</v>
      </c>
      <c r="G207" s="8">
        <f t="shared" si="35"/>
        <v>0.17801565451500792</v>
      </c>
      <c r="H207" s="8">
        <f t="shared" si="36"/>
        <v>7.082267844420681E-2</v>
      </c>
      <c r="I207" s="9">
        <f t="shared" si="38"/>
        <v>0.11749041126731662</v>
      </c>
      <c r="J207" s="8">
        <v>51483.288571906538</v>
      </c>
      <c r="K207" s="9">
        <f t="shared" si="39"/>
        <v>0.30167609818688462</v>
      </c>
    </row>
    <row r="208" spans="1:11">
      <c r="A208" s="8">
        <v>426607</v>
      </c>
      <c r="B208" s="8">
        <f t="shared" si="37"/>
        <v>24422568.750584811</v>
      </c>
      <c r="C208" s="8">
        <v>1862</v>
      </c>
      <c r="D208" s="8">
        <v>2325658.5431849738</v>
      </c>
      <c r="E208" s="8">
        <v>15.602258393568988</v>
      </c>
      <c r="F208" s="8">
        <v>5970361.1703035198</v>
      </c>
      <c r="G208" s="8">
        <f t="shared" si="35"/>
        <v>0.18343492480876603</v>
      </c>
      <c r="H208" s="8">
        <f t="shared" si="36"/>
        <v>7.1454136162136445E-2</v>
      </c>
      <c r="I208" s="9">
        <f t="shared" si="38"/>
        <v>0.12543932208820455</v>
      </c>
      <c r="J208" s="8">
        <v>34756.100577001533</v>
      </c>
      <c r="K208" s="9">
        <f t="shared" si="39"/>
        <v>0.32490519659679856</v>
      </c>
    </row>
    <row r="209" spans="1:11">
      <c r="A209" s="8">
        <v>369898</v>
      </c>
      <c r="B209" s="8">
        <f t="shared" si="37"/>
        <v>23958539.9443237</v>
      </c>
      <c r="C209" s="8">
        <v>1863</v>
      </c>
      <c r="D209" s="8">
        <v>1967936.9824783094</v>
      </c>
      <c r="E209" s="8">
        <v>15.458347555404229</v>
      </c>
      <c r="F209" s="8">
        <v>5170064.5042493809</v>
      </c>
      <c r="G209" s="8">
        <f t="shared" si="35"/>
        <v>0.18796231957294243</v>
      </c>
      <c r="H209" s="8">
        <f t="shared" si="36"/>
        <v>7.1546109278902287E-2</v>
      </c>
      <c r="I209" s="9">
        <f t="shared" si="38"/>
        <v>0.13404493350164504</v>
      </c>
      <c r="J209" s="8">
        <v>21974.260712108429</v>
      </c>
      <c r="K209" s="9">
        <f t="shared" si="39"/>
        <v>0.36775816770857711</v>
      </c>
    </row>
    <row r="210" spans="1:11">
      <c r="A210" s="8">
        <v>318879</v>
      </c>
      <c r="B210" s="8">
        <f t="shared" si="37"/>
        <v>23503327.68538155</v>
      </c>
      <c r="C210" s="8">
        <v>1864</v>
      </c>
      <c r="D210" s="8">
        <v>1644440.6540355822</v>
      </c>
      <c r="E210" s="8">
        <v>15.304402456378607</v>
      </c>
      <c r="F210" s="8">
        <v>4432343.5526833655</v>
      </c>
      <c r="G210" s="8">
        <f t="shared" ref="G210:G226" si="40">A210/D210</f>
        <v>0.19391335237148677</v>
      </c>
      <c r="H210" s="8">
        <f t="shared" ref="H210:H226" si="41">A210/F210</f>
        <v>7.1943656038789883E-2</v>
      </c>
      <c r="I210" s="9">
        <f t="shared" si="38"/>
        <v>0.14269086023195021</v>
      </c>
      <c r="J210" s="8">
        <v>13305.670061620467</v>
      </c>
      <c r="K210" s="9">
        <f t="shared" si="39"/>
        <v>0.3944883863925091</v>
      </c>
    </row>
    <row r="211" spans="1:11">
      <c r="A211" s="8">
        <v>278685</v>
      </c>
      <c r="B211" s="8">
        <f t="shared" si="37"/>
        <v>23056764.459359299</v>
      </c>
      <c r="C211" s="8">
        <v>1865</v>
      </c>
      <c r="D211" s="8">
        <v>1355505.1047590824</v>
      </c>
      <c r="E211" s="8">
        <v>15.139037851962525</v>
      </c>
      <c r="F211" s="8">
        <v>3756751.6116224499</v>
      </c>
      <c r="G211" s="8">
        <f t="shared" si="40"/>
        <v>0.20559494687372012</v>
      </c>
      <c r="H211" s="8">
        <f t="shared" si="41"/>
        <v>7.4182439727401281E-2</v>
      </c>
      <c r="I211" s="9">
        <f t="shared" si="38"/>
        <v>0.15242318945513789</v>
      </c>
      <c r="J211" s="8">
        <v>6375.0626778627238</v>
      </c>
      <c r="K211" s="9">
        <f t="shared" si="39"/>
        <v>0.52087623935217886</v>
      </c>
    </row>
    <row r="212" spans="1:11">
      <c r="A212" s="8">
        <v>238094</v>
      </c>
      <c r="B212" s="8">
        <f t="shared" si="37"/>
        <v>22618685.934631471</v>
      </c>
      <c r="C212" s="8">
        <v>1866</v>
      </c>
      <c r="D212" s="8">
        <v>1100974.3223405445</v>
      </c>
      <c r="E212" s="8">
        <v>14.961848832567103</v>
      </c>
      <c r="F212" s="8">
        <v>3146697.0546895182</v>
      </c>
      <c r="G212" s="8">
        <f t="shared" si="40"/>
        <v>0.21625754131471439</v>
      </c>
      <c r="H212" s="8">
        <f t="shared" si="41"/>
        <v>7.5664735391406321E-2</v>
      </c>
      <c r="I212" s="9">
        <f t="shared" si="38"/>
        <v>0.16238884547106483</v>
      </c>
      <c r="J212" s="8">
        <v>2714.7086460760042</v>
      </c>
      <c r="K212" s="9">
        <f t="shared" si="39"/>
        <v>0.57416753634395234</v>
      </c>
    </row>
    <row r="213" spans="1:11">
      <c r="A213" s="8">
        <v>206404</v>
      </c>
      <c r="B213" s="8">
        <f t="shared" si="37"/>
        <v>22188930.901873473</v>
      </c>
      <c r="C213" s="8">
        <v>1867</v>
      </c>
      <c r="D213" s="8">
        <v>879905.48879991716</v>
      </c>
      <c r="E213" s="8">
        <v>14.771914124622015</v>
      </c>
      <c r="F213" s="8">
        <v>2602340.3149888306</v>
      </c>
      <c r="G213" s="8">
        <f t="shared" si="40"/>
        <v>0.23457519316251757</v>
      </c>
      <c r="H213" s="8">
        <f t="shared" si="41"/>
        <v>7.9314760952349114E-2</v>
      </c>
      <c r="I213" s="9">
        <f t="shared" si="38"/>
        <v>0.17299305596941195</v>
      </c>
      <c r="J213" s="8">
        <v>1433.2322377138064</v>
      </c>
      <c r="K213" s="9">
        <f t="shared" si="39"/>
        <v>0.47204933399188803</v>
      </c>
    </row>
    <row r="214" spans="1:11">
      <c r="A214" s="8">
        <v>187630</v>
      </c>
      <c r="B214" s="8">
        <f t="shared" si="37"/>
        <v>21767341.214737877</v>
      </c>
      <c r="C214" s="8">
        <v>1868</v>
      </c>
      <c r="D214" s="8">
        <v>690638.95629740518</v>
      </c>
      <c r="E214" s="8">
        <v>14.567628076265839</v>
      </c>
      <c r="F214" s="8">
        <v>2121499.4107132759</v>
      </c>
      <c r="G214" s="8">
        <f t="shared" si="40"/>
        <v>0.27167595787805832</v>
      </c>
      <c r="H214" s="8">
        <f t="shared" si="41"/>
        <v>8.8442164561769232E-2</v>
      </c>
      <c r="I214" s="9">
        <f t="shared" si="38"/>
        <v>0.18477249170910934</v>
      </c>
      <c r="J214" s="8">
        <v>506.98071190905972</v>
      </c>
      <c r="K214" s="9">
        <f t="shared" si="39"/>
        <v>0.64626757718081995</v>
      </c>
    </row>
    <row r="215" spans="1:11">
      <c r="A215" s="8">
        <v>183954</v>
      </c>
      <c r="B215" s="8">
        <f t="shared" si="37"/>
        <v>21353761.731657859</v>
      </c>
      <c r="C215" s="8">
        <v>1869</v>
      </c>
      <c r="D215" s="8">
        <v>531942.14207008993</v>
      </c>
      <c r="E215" s="8">
        <v>14.34890094361122</v>
      </c>
      <c r="F215" s="8">
        <v>1704706.0725077817</v>
      </c>
      <c r="G215" s="8">
        <f t="shared" si="40"/>
        <v>0.34581580486202912</v>
      </c>
      <c r="H215" s="8">
        <f t="shared" si="41"/>
        <v>0.10790951177254064</v>
      </c>
      <c r="I215" s="9">
        <f t="shared" si="38"/>
        <v>0.19646167993295027</v>
      </c>
      <c r="J215" s="8">
        <v>40.125762071236927</v>
      </c>
      <c r="K215" s="9">
        <f t="shared" si="39"/>
        <v>0.92085347405004525</v>
      </c>
    </row>
    <row r="216" spans="1:11">
      <c r="A216" s="8">
        <v>154771</v>
      </c>
      <c r="B216" s="8">
        <f t="shared" si="37"/>
        <v>20948040.258756358</v>
      </c>
      <c r="C216" s="8">
        <v>1870</v>
      </c>
      <c r="D216" s="8">
        <v>400779.76275864558</v>
      </c>
      <c r="E216" s="8">
        <v>14.113827429546298</v>
      </c>
      <c r="F216" s="8">
        <v>1347588.7328063061</v>
      </c>
      <c r="G216" s="8">
        <f t="shared" si="40"/>
        <v>0.38617468839913699</v>
      </c>
      <c r="H216" s="8">
        <f t="shared" si="41"/>
        <v>0.11485032208431636</v>
      </c>
      <c r="I216" s="9">
        <f t="shared" si="38"/>
        <v>0.20948909930034018</v>
      </c>
    </row>
    <row r="217" spans="1:11">
      <c r="A217" s="8">
        <v>144293</v>
      </c>
      <c r="B217" s="8">
        <f t="shared" si="37"/>
        <v>20550027.493839987</v>
      </c>
      <c r="C217" s="8">
        <v>1871</v>
      </c>
      <c r="D217" s="8">
        <v>295249.71092243394</v>
      </c>
      <c r="E217" s="8">
        <v>13.861429892832966</v>
      </c>
      <c r="F217" s="8">
        <v>1046989.9519685808</v>
      </c>
      <c r="G217" s="8">
        <f t="shared" si="40"/>
        <v>0.48871512710103115</v>
      </c>
      <c r="H217" s="8">
        <f t="shared" si="41"/>
        <v>0.13781698642732543</v>
      </c>
      <c r="I217" s="9">
        <f t="shared" si="38"/>
        <v>0.22306418384171178</v>
      </c>
    </row>
    <row r="218" spans="1:11">
      <c r="A218" s="8">
        <v>133002</v>
      </c>
      <c r="B218" s="8">
        <f t="shared" si="37"/>
        <v>20159576.971457027</v>
      </c>
      <c r="C218" s="8">
        <v>1872</v>
      </c>
      <c r="D218" s="8">
        <v>212019.67669889375</v>
      </c>
      <c r="E218" s="8">
        <v>13.590355657527907</v>
      </c>
      <c r="F218" s="8">
        <v>798392.53782800643</v>
      </c>
      <c r="G218" s="8">
        <f t="shared" si="40"/>
        <v>0.62730970101839589</v>
      </c>
      <c r="H218" s="8">
        <f t="shared" si="41"/>
        <v>0.16658722833485692</v>
      </c>
      <c r="I218" s="9">
        <f t="shared" si="38"/>
        <v>0.23744011456189656</v>
      </c>
    </row>
    <row r="219" spans="1:11">
      <c r="A219" s="8">
        <v>127025</v>
      </c>
      <c r="B219" s="8">
        <f t="shared" si="37"/>
        <v>19776545.008999344</v>
      </c>
      <c r="C219" s="8">
        <v>1873</v>
      </c>
      <c r="D219" s="8">
        <v>147350.15602646061</v>
      </c>
      <c r="E219" s="8">
        <v>13.294418186019792</v>
      </c>
      <c r="F219" s="8">
        <v>593871.46498773806</v>
      </c>
      <c r="G219" s="8">
        <f t="shared" si="40"/>
        <v>0.86206220220892948</v>
      </c>
      <c r="H219" s="8">
        <f t="shared" si="41"/>
        <v>0.21389308543831576</v>
      </c>
      <c r="I219" s="9">
        <f t="shared" si="38"/>
        <v>0.2561660626195974</v>
      </c>
    </row>
    <row r="220" spans="1:11">
      <c r="A220" s="8">
        <v>119630</v>
      </c>
      <c r="B220" s="8">
        <f t="shared" si="37"/>
        <v>19400790.653828356</v>
      </c>
      <c r="C220" s="8">
        <v>1874</v>
      </c>
      <c r="D220" s="8">
        <v>98358.814482996415</v>
      </c>
      <c r="E220" s="8">
        <v>12.977151641797557</v>
      </c>
      <c r="F220" s="8">
        <v>432419.57823979785</v>
      </c>
      <c r="G220" s="8">
        <f t="shared" si="40"/>
        <v>1.2162611010392037</v>
      </c>
      <c r="H220" s="8">
        <f t="shared" si="41"/>
        <v>0.27665259858715119</v>
      </c>
      <c r="I220" s="9">
        <f t="shared" si="38"/>
        <v>0.27186335135882272</v>
      </c>
    </row>
    <row r="221" spans="1:11">
      <c r="A221" s="8">
        <v>109344</v>
      </c>
      <c r="B221" s="8">
        <f t="shared" si="37"/>
        <v>19032175.631405618</v>
      </c>
      <c r="C221" s="8">
        <v>1875</v>
      </c>
      <c r="D221" s="8">
        <v>62803.42219794148</v>
      </c>
      <c r="E221" s="8">
        <v>12.625101605354486</v>
      </c>
      <c r="F221" s="8">
        <v>304096.8774226656</v>
      </c>
      <c r="G221" s="8">
        <f t="shared" si="40"/>
        <v>1.741051620648532</v>
      </c>
      <c r="H221" s="8">
        <f t="shared" si="41"/>
        <v>0.35956962441288831</v>
      </c>
      <c r="I221" s="9">
        <f t="shared" si="38"/>
        <v>0.2967550667790787</v>
      </c>
    </row>
    <row r="222" spans="1:11">
      <c r="A222" s="8">
        <v>145346</v>
      </c>
      <c r="B222" s="8">
        <f t="shared" si="37"/>
        <v>18670564.29440891</v>
      </c>
      <c r="C222" s="8">
        <v>1876</v>
      </c>
      <c r="D222" s="8">
        <v>38041.807180155847</v>
      </c>
      <c r="E222" s="8">
        <v>12.251055142322889</v>
      </c>
      <c r="F222" s="8">
        <v>209201.91024529785</v>
      </c>
      <c r="G222" s="8">
        <f t="shared" si="40"/>
        <v>3.8206912545368872</v>
      </c>
      <c r="H222" s="8">
        <f t="shared" si="41"/>
        <v>0.69476421046813497</v>
      </c>
      <c r="I222" s="9">
        <f t="shared" si="38"/>
        <v>0.31205505292141755</v>
      </c>
    </row>
    <row r="223" spans="1:11">
      <c r="A223" s="8">
        <v>127540</v>
      </c>
      <c r="B223" s="8">
        <f t="shared" si="37"/>
        <v>18315823.572815139</v>
      </c>
      <c r="C223" s="8">
        <v>1877</v>
      </c>
      <c r="D223" s="8">
        <v>21277.741876299249</v>
      </c>
      <c r="E223" s="8">
        <v>11.84866254054378</v>
      </c>
      <c r="F223" s="8">
        <v>139897.11527638175</v>
      </c>
      <c r="G223" s="8">
        <f t="shared" si="40"/>
        <v>5.9940571110162608</v>
      </c>
      <c r="H223" s="8">
        <f t="shared" si="41"/>
        <v>0.91166997795509264</v>
      </c>
      <c r="I223" s="9">
        <f t="shared" si="38"/>
        <v>0.33128184579028641</v>
      </c>
    </row>
    <row r="224" spans="1:11">
      <c r="A224" s="8">
        <v>116887</v>
      </c>
      <c r="B224" s="8">
        <f t="shared" si="37"/>
        <v>17967822.924931649</v>
      </c>
      <c r="C224" s="8">
        <v>1878</v>
      </c>
      <c r="D224" s="8">
        <v>11355.439426732819</v>
      </c>
      <c r="E224" s="8">
        <v>11.419786075891974</v>
      </c>
      <c r="F224" s="8">
        <v>91106.649872554437</v>
      </c>
      <c r="G224" s="8">
        <f t="shared" si="40"/>
        <v>10.293481001257092</v>
      </c>
      <c r="H224" s="8">
        <f t="shared" si="41"/>
        <v>1.2829689178946728</v>
      </c>
      <c r="I224" s="9">
        <f t="shared" si="38"/>
        <v>0.34875962458151133</v>
      </c>
    </row>
    <row r="225" spans="1:12">
      <c r="A225" s="8">
        <v>117387</v>
      </c>
      <c r="B225" s="8">
        <f t="shared" si="37"/>
        <v>17626434.289357949</v>
      </c>
      <c r="C225" s="8">
        <v>1879</v>
      </c>
      <c r="D225" s="8">
        <v>6042.3567983242747</v>
      </c>
      <c r="E225" s="8">
        <v>10.950905015420297</v>
      </c>
      <c r="F225" s="8">
        <v>57005.612986752669</v>
      </c>
      <c r="G225" s="8">
        <f t="shared" si="40"/>
        <v>19.427353252716706</v>
      </c>
      <c r="H225" s="8">
        <f t="shared" si="41"/>
        <v>2.0592182743000964</v>
      </c>
      <c r="I225" s="9">
        <f t="shared" si="38"/>
        <v>0.37429800056861257</v>
      </c>
    </row>
    <row r="226" spans="1:12">
      <c r="A226" s="8">
        <v>109618</v>
      </c>
      <c r="B226" s="8">
        <f t="shared" si="37"/>
        <v>17291532.037860148</v>
      </c>
      <c r="C226" s="8">
        <v>1880</v>
      </c>
      <c r="D226" s="8">
        <v>2850.1092010486741</v>
      </c>
      <c r="E226" s="8">
        <v>10.426199210806869</v>
      </c>
      <c r="F226" s="8">
        <v>33731.898470622175</v>
      </c>
      <c r="G226" s="8">
        <f t="shared" si="40"/>
        <v>38.46098246329192</v>
      </c>
      <c r="H226" s="8">
        <f t="shared" si="41"/>
        <v>3.2496836813222547</v>
      </c>
      <c r="I226" s="9">
        <f t="shared" si="38"/>
        <v>0.40827057717174253</v>
      </c>
    </row>
    <row r="227" spans="1:12">
      <c r="B227" s="8">
        <f t="shared" si="37"/>
        <v>16962992.929140806</v>
      </c>
      <c r="C227" s="8">
        <v>1881</v>
      </c>
      <c r="D227" s="8">
        <v>1199.7171203939429</v>
      </c>
      <c r="E227" s="8">
        <v>9.624107304033549</v>
      </c>
      <c r="F227" s="8">
        <v>15125.045694728431</v>
      </c>
      <c r="I227" s="9">
        <f t="shared" si="38"/>
        <v>0.55161000772307089</v>
      </c>
    </row>
    <row r="228" spans="1:12">
      <c r="B228" s="8">
        <f t="shared" si="37"/>
        <v>16640696.063487131</v>
      </c>
      <c r="C228" s="8">
        <v>1882</v>
      </c>
      <c r="D228" s="8">
        <v>520.78887782141533</v>
      </c>
      <c r="E228" s="8">
        <v>8.7827185389281421</v>
      </c>
      <c r="F228" s="8">
        <v>6520.5795494844961</v>
      </c>
      <c r="I228" s="9">
        <f t="shared" si="38"/>
        <v>0.56888860496090077</v>
      </c>
    </row>
    <row r="229" spans="1:12">
      <c r="B229" s="8">
        <f t="shared" si="37"/>
        <v>16324522.838280875</v>
      </c>
      <c r="C229" s="8">
        <v>1883</v>
      </c>
      <c r="D229" s="8">
        <v>204.2553861443983</v>
      </c>
      <c r="E229" s="8">
        <v>8.136276286580193</v>
      </c>
      <c r="F229" s="8">
        <v>3416.1733037865979</v>
      </c>
      <c r="I229" s="9">
        <f t="shared" si="38"/>
        <v>0.47609360826574476</v>
      </c>
    </row>
    <row r="230" spans="1:12">
      <c r="B230" s="8">
        <f t="shared" si="37"/>
        <v>16014356.904353539</v>
      </c>
      <c r="C230" s="8">
        <v>1884</v>
      </c>
      <c r="D230" s="8">
        <v>71.336941732749438</v>
      </c>
      <c r="E230" s="8">
        <v>7.040515591062249</v>
      </c>
      <c r="F230" s="8">
        <v>1141.9762476134827</v>
      </c>
      <c r="I230" s="9">
        <f t="shared" si="38"/>
        <v>0.66571477906355658</v>
      </c>
    </row>
    <row r="231" spans="1:12">
      <c r="B231" s="8">
        <f t="shared" si="37"/>
        <v>15710084.123170821</v>
      </c>
      <c r="C231" s="8">
        <v>1885</v>
      </c>
      <c r="D231" s="8">
        <v>23.218900000000001</v>
      </c>
      <c r="E231" s="8">
        <v>3.1449666021932621</v>
      </c>
      <c r="F231" s="8">
        <v>23.218900000000001</v>
      </c>
      <c r="I231" s="9">
        <f t="shared" si="38"/>
        <v>0.97966779077189803</v>
      </c>
    </row>
    <row r="232" spans="1:12">
      <c r="B232" s="8">
        <f t="shared" si="37"/>
        <v>15411592.524830576</v>
      </c>
      <c r="C232" s="8">
        <v>1886</v>
      </c>
      <c r="D232" s="8">
        <v>3.4106000000000001</v>
      </c>
      <c r="E232" s="8">
        <v>1.2268882288966769</v>
      </c>
      <c r="F232" s="8">
        <v>3.4106000000000001</v>
      </c>
      <c r="I232" s="9">
        <f t="shared" si="38"/>
        <v>0.85311104315880604</v>
      </c>
    </row>
    <row r="233" spans="1:12">
      <c r="D233" s="12">
        <v>-4.1099999999999996E-6</v>
      </c>
      <c r="F233" s="8">
        <v>0</v>
      </c>
    </row>
    <row r="234" spans="1:12">
      <c r="D234" s="9">
        <v>1.9E-2</v>
      </c>
      <c r="F234" s="9">
        <v>0.02</v>
      </c>
    </row>
    <row r="235" spans="1:12">
      <c r="E235" s="8" t="s">
        <v>291</v>
      </c>
    </row>
    <row r="236" spans="1:12">
      <c r="C236" s="8">
        <v>1787</v>
      </c>
      <c r="D236" s="8">
        <f>E236</f>
        <v>18.449729667814392</v>
      </c>
      <c r="E236" s="8">
        <v>18.449729667814392</v>
      </c>
      <c r="F236" s="8">
        <f>E236</f>
        <v>18.449729667814392</v>
      </c>
      <c r="G236" s="9">
        <f t="shared" ref="G236:G267" si="42">(F236-E236)/E236</f>
        <v>0</v>
      </c>
      <c r="H236" s="9">
        <f t="shared" ref="H236:H267" si="43">EXP(F236-E236)-1</f>
        <v>0</v>
      </c>
      <c r="I236" s="9">
        <f t="shared" ref="I236:I267" si="44">EXP(D236-E236)-1</f>
        <v>0</v>
      </c>
      <c r="K236" s="8">
        <f t="shared" ref="K236:K267" si="45">EXP(E236)</f>
        <v>102947495.91339642</v>
      </c>
      <c r="L236" s="8">
        <f t="shared" ref="L236:L267" si="46">EXP(D236)</f>
        <v>102947495.91339642</v>
      </c>
    </row>
    <row r="237" spans="1:12">
      <c r="B237" s="8">
        <v>1</v>
      </c>
      <c r="C237" s="8">
        <v>1788</v>
      </c>
      <c r="D237" s="8">
        <f t="shared" ref="D237:D268" si="47">D236-$D$234+B237^2*$D$233</f>
        <v>18.430725557814394</v>
      </c>
      <c r="E237" s="8">
        <v>18.426822378008129</v>
      </c>
      <c r="F237" s="8">
        <f t="shared" ref="F237:F268" si="48">F236-F$234</f>
        <v>18.429729667814392</v>
      </c>
      <c r="G237" s="9">
        <f t="shared" si="42"/>
        <v>1.5777488633812118E-4</v>
      </c>
      <c r="H237" s="9">
        <f t="shared" si="43"/>
        <v>2.9115200718143885E-3</v>
      </c>
      <c r="I237" s="9">
        <f t="shared" si="44"/>
        <v>3.9108071329456706E-3</v>
      </c>
      <c r="K237" s="8">
        <f t="shared" si="45"/>
        <v>100616053.25596236</v>
      </c>
      <c r="L237" s="8">
        <f t="shared" si="46"/>
        <v>101009543.23472463</v>
      </c>
    </row>
    <row r="238" spans="1:12">
      <c r="B238" s="8">
        <v>2</v>
      </c>
      <c r="C238" s="8">
        <v>1789</v>
      </c>
      <c r="D238" s="8">
        <f t="shared" si="47"/>
        <v>18.411709117814397</v>
      </c>
      <c r="E238" s="8">
        <v>18.406822775819624</v>
      </c>
      <c r="F238" s="8">
        <f t="shared" si="48"/>
        <v>18.409729667814393</v>
      </c>
      <c r="G238" s="9">
        <f t="shared" si="42"/>
        <v>1.5792470162681691E-4</v>
      </c>
      <c r="H238" s="9">
        <f t="shared" si="43"/>
        <v>2.9111211021635164E-3</v>
      </c>
      <c r="I238" s="9">
        <f t="shared" si="44"/>
        <v>4.8982996322533001E-3</v>
      </c>
      <c r="K238" s="8">
        <f t="shared" si="45"/>
        <v>98623761.148514137</v>
      </c>
      <c r="L238" s="8">
        <f t="shared" si="46"/>
        <v>99106849.881479338</v>
      </c>
    </row>
    <row r="239" spans="1:12">
      <c r="B239" s="8">
        <v>3</v>
      </c>
      <c r="C239" s="8">
        <v>1790</v>
      </c>
      <c r="D239" s="8">
        <f t="shared" si="47"/>
        <v>18.392672127814397</v>
      </c>
      <c r="E239" s="8">
        <v>18.38809314359402</v>
      </c>
      <c r="F239" s="8">
        <f t="shared" si="48"/>
        <v>18.389729667814393</v>
      </c>
      <c r="G239" s="9">
        <f t="shared" si="42"/>
        <v>8.8999126097173914E-5</v>
      </c>
      <c r="H239" s="9">
        <f t="shared" si="43"/>
        <v>1.6378640569272296E-3</v>
      </c>
      <c r="I239" s="9">
        <f t="shared" si="44"/>
        <v>4.5894837882902717E-3</v>
      </c>
      <c r="K239" s="8">
        <f t="shared" si="45"/>
        <v>96793765.443192214</v>
      </c>
      <c r="L239" s="8">
        <f t="shared" si="46"/>
        <v>97237998.860501304</v>
      </c>
    </row>
    <row r="240" spans="1:12">
      <c r="B240" s="8">
        <v>4</v>
      </c>
      <c r="C240" s="8">
        <v>1791</v>
      </c>
      <c r="D240" s="8">
        <f t="shared" si="47"/>
        <v>18.3736063678144</v>
      </c>
      <c r="E240" s="8">
        <v>18.370087331004243</v>
      </c>
      <c r="F240" s="8">
        <f t="shared" si="48"/>
        <v>18.369729667814394</v>
      </c>
      <c r="G240" s="9">
        <f t="shared" si="42"/>
        <v>-1.9469868782024209E-5</v>
      </c>
      <c r="H240" s="9">
        <f t="shared" si="43"/>
        <v>-3.575992359952096E-4</v>
      </c>
      <c r="I240" s="9">
        <f t="shared" si="44"/>
        <v>3.5252358896564751E-3</v>
      </c>
      <c r="K240" s="8">
        <f t="shared" si="45"/>
        <v>95066512.009291038</v>
      </c>
      <c r="L240" s="8">
        <f t="shared" si="46"/>
        <v>95401643.88933064</v>
      </c>
    </row>
    <row r="241" spans="2:12">
      <c r="B241" s="8">
        <v>5</v>
      </c>
      <c r="C241" s="8">
        <v>1792</v>
      </c>
      <c r="D241" s="8">
        <f t="shared" si="47"/>
        <v>18.354503617814402</v>
      </c>
      <c r="E241" s="8">
        <v>18.352069057432374</v>
      </c>
      <c r="F241" s="8">
        <f t="shared" si="48"/>
        <v>18.349729667814394</v>
      </c>
      <c r="G241" s="9">
        <f t="shared" si="42"/>
        <v>-1.2747279942434188E-4</v>
      </c>
      <c r="H241" s="9">
        <f t="shared" si="43"/>
        <v>-2.3366553786533517E-3</v>
      </c>
      <c r="I241" s="9">
        <f t="shared" si="44"/>
        <v>2.4375263305933537E-3</v>
      </c>
      <c r="K241" s="8">
        <f t="shared" si="45"/>
        <v>93368917.37853691</v>
      </c>
      <c r="L241" s="8">
        <f t="shared" si="46"/>
        <v>93596506.573106095</v>
      </c>
    </row>
    <row r="242" spans="2:12">
      <c r="B242" s="8">
        <v>6</v>
      </c>
      <c r="C242" s="8">
        <v>1793</v>
      </c>
      <c r="D242" s="8">
        <f t="shared" si="47"/>
        <v>18.335355657814404</v>
      </c>
      <c r="E242" s="8">
        <v>18.33420498341928</v>
      </c>
      <c r="F242" s="8">
        <f t="shared" si="48"/>
        <v>18.329729667814394</v>
      </c>
      <c r="G242" s="9">
        <f t="shared" si="42"/>
        <v>-2.4409651844368828E-4</v>
      </c>
      <c r="H242" s="9">
        <f t="shared" si="43"/>
        <v>-4.4653163022436715E-3</v>
      </c>
      <c r="I242" s="9">
        <f t="shared" si="44"/>
        <v>1.1513366749038578E-3</v>
      </c>
      <c r="K242" s="8">
        <f t="shared" si="45"/>
        <v>91715777.993093103</v>
      </c>
      <c r="L242" s="8">
        <f t="shared" si="46"/>
        <v>91821373.731963903</v>
      </c>
    </row>
    <row r="243" spans="2:12">
      <c r="B243" s="8">
        <v>7</v>
      </c>
      <c r="C243" s="8">
        <v>1794</v>
      </c>
      <c r="D243" s="8">
        <f t="shared" si="47"/>
        <v>18.316154267814404</v>
      </c>
      <c r="E243" s="8">
        <v>18.316268113512567</v>
      </c>
      <c r="F243" s="8">
        <f t="shared" si="48"/>
        <v>18.309729667814395</v>
      </c>
      <c r="G243" s="9">
        <f t="shared" si="42"/>
        <v>-3.5697477551930343E-4</v>
      </c>
      <c r="H243" s="9">
        <f t="shared" si="43"/>
        <v>-6.5171165738570069E-3</v>
      </c>
      <c r="I243" s="9">
        <f t="shared" si="44"/>
        <v>-1.1383921798724383E-4</v>
      </c>
      <c r="K243" s="8">
        <f t="shared" si="45"/>
        <v>90085350.114287883</v>
      </c>
      <c r="L243" s="8">
        <f t="shared" si="46"/>
        <v>90075094.86847876</v>
      </c>
    </row>
    <row r="244" spans="2:12">
      <c r="B244" s="8">
        <v>8</v>
      </c>
      <c r="C244" s="8">
        <v>1795</v>
      </c>
      <c r="D244" s="8">
        <f t="shared" si="47"/>
        <v>18.296891227814406</v>
      </c>
      <c r="E244" s="8">
        <v>18.298165174801312</v>
      </c>
      <c r="F244" s="8">
        <f t="shared" si="48"/>
        <v>18.289729667814395</v>
      </c>
      <c r="G244" s="9">
        <f t="shared" si="42"/>
        <v>-4.6100288779410138E-4</v>
      </c>
      <c r="H244" s="9">
        <f t="shared" si="43"/>
        <v>-8.4000279292220092E-3</v>
      </c>
      <c r="I244" s="9">
        <f t="shared" si="44"/>
        <v>-1.273135860923702E-3</v>
      </c>
      <c r="K244" s="8">
        <f t="shared" si="45"/>
        <v>88469213.09308368</v>
      </c>
      <c r="L244" s="8">
        <f t="shared" si="46"/>
        <v>88356579.765307173</v>
      </c>
    </row>
    <row r="245" spans="2:12">
      <c r="B245" s="8">
        <v>9</v>
      </c>
      <c r="C245" s="8">
        <v>1796</v>
      </c>
      <c r="D245" s="8">
        <f t="shared" si="47"/>
        <v>18.277558317814407</v>
      </c>
      <c r="E245" s="8">
        <v>18.279781936167272</v>
      </c>
      <c r="F245" s="8">
        <f t="shared" si="48"/>
        <v>18.269729667814396</v>
      </c>
      <c r="G245" s="9">
        <f t="shared" si="42"/>
        <v>-5.499118308948238E-4</v>
      </c>
      <c r="H245" s="9">
        <f t="shared" si="43"/>
        <v>-1.0001913172532073E-2</v>
      </c>
      <c r="I245" s="9">
        <f t="shared" si="44"/>
        <v>-2.2211479449958382E-3</v>
      </c>
      <c r="K245" s="8">
        <f t="shared" si="45"/>
        <v>86857720.050149724</v>
      </c>
      <c r="L245" s="8">
        <f t="shared" si="46"/>
        <v>86664796.203753307</v>
      </c>
    </row>
    <row r="246" spans="2:12">
      <c r="B246" s="8">
        <v>10</v>
      </c>
      <c r="C246" s="8">
        <v>1797</v>
      </c>
      <c r="D246" s="8">
        <f t="shared" si="47"/>
        <v>18.258147317814409</v>
      </c>
      <c r="E246" s="8">
        <v>18.261157349978834</v>
      </c>
      <c r="F246" s="8">
        <f t="shared" si="48"/>
        <v>18.249729667814396</v>
      </c>
      <c r="G246" s="9">
        <f t="shared" si="42"/>
        <v>-6.2579178008404651E-4</v>
      </c>
      <c r="H246" s="9">
        <f t="shared" si="43"/>
        <v>-1.1362634222798151E-2</v>
      </c>
      <c r="I246" s="9">
        <f t="shared" si="44"/>
        <v>-3.005506559487614E-3</v>
      </c>
      <c r="K246" s="8">
        <f t="shared" si="45"/>
        <v>85255002.263046697</v>
      </c>
      <c r="L246" s="8">
        <f t="shared" si="46"/>
        <v>84998767.794515982</v>
      </c>
    </row>
    <row r="247" spans="2:12">
      <c r="B247" s="8">
        <v>11</v>
      </c>
      <c r="C247" s="8">
        <v>1798</v>
      </c>
      <c r="D247" s="8">
        <f t="shared" si="47"/>
        <v>18.23865000781441</v>
      </c>
      <c r="E247" s="8">
        <v>18.242155207674113</v>
      </c>
      <c r="F247" s="8">
        <f t="shared" si="48"/>
        <v>18.229729667814397</v>
      </c>
      <c r="G247" s="9">
        <f t="shared" si="42"/>
        <v>-6.8114429014885347E-4</v>
      </c>
      <c r="H247" s="9">
        <f t="shared" si="43"/>
        <v>-1.2348661586764953E-2</v>
      </c>
      <c r="I247" s="9">
        <f t="shared" si="44"/>
        <v>-3.4990638181188194E-3</v>
      </c>
      <c r="K247" s="8">
        <f t="shared" si="45"/>
        <v>83650269.54390581</v>
      </c>
      <c r="L247" s="8">
        <f t="shared" si="46"/>
        <v>83357571.912368849</v>
      </c>
    </row>
    <row r="248" spans="2:12">
      <c r="B248" s="8">
        <v>12</v>
      </c>
      <c r="C248" s="8">
        <v>1799</v>
      </c>
      <c r="D248" s="8">
        <f t="shared" si="47"/>
        <v>18.219058167814413</v>
      </c>
      <c r="E248" s="8">
        <v>18.222804375700868</v>
      </c>
      <c r="F248" s="8">
        <f t="shared" si="48"/>
        <v>18.209729667814397</v>
      </c>
      <c r="G248" s="9">
        <f t="shared" si="42"/>
        <v>-7.1749153516158172E-4</v>
      </c>
      <c r="H248" s="9">
        <f t="shared" si="43"/>
        <v>-1.2989605194686504E-2</v>
      </c>
      <c r="I248" s="9">
        <f t="shared" si="44"/>
        <v>-3.7391996039158881E-3</v>
      </c>
      <c r="K248" s="8">
        <f t="shared" si="45"/>
        <v>82047128.316704974</v>
      </c>
      <c r="L248" s="8">
        <f t="shared" si="46"/>
        <v>81740337.727000713</v>
      </c>
    </row>
    <row r="249" spans="2:12">
      <c r="B249" s="8">
        <v>13</v>
      </c>
      <c r="C249" s="8">
        <v>1800</v>
      </c>
      <c r="D249" s="8">
        <f t="shared" si="47"/>
        <v>18.199363577814417</v>
      </c>
      <c r="E249" s="8">
        <v>18.203081082150408</v>
      </c>
      <c r="F249" s="8">
        <f t="shared" si="48"/>
        <v>18.189729667814397</v>
      </c>
      <c r="G249" s="9">
        <f t="shared" si="42"/>
        <v>-7.3347002497852344E-4</v>
      </c>
      <c r="H249" s="9">
        <f t="shared" si="43"/>
        <v>-1.3262679554231771E-2</v>
      </c>
      <c r="I249" s="9">
        <f t="shared" si="44"/>
        <v>-3.7106029713471766E-3</v>
      </c>
      <c r="K249" s="8">
        <f t="shared" si="45"/>
        <v>80444742.824433967</v>
      </c>
      <c r="L249" s="8">
        <f t="shared" si="46"/>
        <v>80146244.322680354</v>
      </c>
    </row>
    <row r="250" spans="2:12">
      <c r="B250" s="8">
        <v>14</v>
      </c>
      <c r="C250" s="8">
        <v>1801</v>
      </c>
      <c r="D250" s="8">
        <f t="shared" si="47"/>
        <v>18.179558017814418</v>
      </c>
      <c r="E250" s="8">
        <v>18.182987757870531</v>
      </c>
      <c r="F250" s="8">
        <f t="shared" si="48"/>
        <v>18.169729667814398</v>
      </c>
      <c r="G250" s="9">
        <f t="shared" si="42"/>
        <v>-7.2914804941200443E-4</v>
      </c>
      <c r="H250" s="9">
        <f t="shared" si="43"/>
        <v>-1.3170588707283937E-2</v>
      </c>
      <c r="I250" s="9">
        <f t="shared" si="44"/>
        <v>-3.423865215997357E-3</v>
      </c>
      <c r="K250" s="8">
        <f t="shared" si="45"/>
        <v>78844471.744109958</v>
      </c>
      <c r="L250" s="8">
        <f t="shared" si="46"/>
        <v>78574518.899831623</v>
      </c>
    </row>
    <row r="251" spans="2:12">
      <c r="B251" s="8">
        <v>15</v>
      </c>
      <c r="C251" s="8">
        <v>1802</v>
      </c>
      <c r="D251" s="8">
        <f t="shared" si="47"/>
        <v>18.159633267814421</v>
      </c>
      <c r="E251" s="8">
        <v>18.162484703432696</v>
      </c>
      <c r="F251" s="8">
        <f t="shared" si="48"/>
        <v>18.149729667814398</v>
      </c>
      <c r="G251" s="9">
        <f t="shared" si="42"/>
        <v>-7.0227371566001899E-4</v>
      </c>
      <c r="H251" s="9">
        <f t="shared" si="43"/>
        <v>-1.2674034906221321E-2</v>
      </c>
      <c r="I251" s="9">
        <f t="shared" si="44"/>
        <v>-2.8473741370007577E-3</v>
      </c>
      <c r="K251" s="8">
        <f t="shared" si="45"/>
        <v>77244378.698130742</v>
      </c>
      <c r="L251" s="8">
        <f t="shared" si="46"/>
        <v>77024435.051996991</v>
      </c>
    </row>
    <row r="252" spans="2:12">
      <c r="B252" s="8">
        <v>16</v>
      </c>
      <c r="C252" s="8">
        <v>1803</v>
      </c>
      <c r="D252" s="8">
        <f t="shared" si="47"/>
        <v>18.139581107814422</v>
      </c>
      <c r="E252" s="8">
        <v>18.141671254540626</v>
      </c>
      <c r="F252" s="8">
        <f t="shared" si="48"/>
        <v>18.129729667814399</v>
      </c>
      <c r="G252" s="9">
        <f t="shared" si="42"/>
        <v>-6.5824071876719142E-4</v>
      </c>
      <c r="H252" s="9">
        <f t="shared" si="43"/>
        <v>-1.1870568948860849E-2</v>
      </c>
      <c r="I252" s="9">
        <f t="shared" si="44"/>
        <v>-2.0879638906153852E-3</v>
      </c>
      <c r="K252" s="8">
        <f t="shared" si="45"/>
        <v>75653272.413047075</v>
      </c>
      <c r="L252" s="8">
        <f t="shared" si="46"/>
        <v>75495311.112041742</v>
      </c>
    </row>
    <row r="253" spans="2:12">
      <c r="B253" s="8">
        <v>17</v>
      </c>
      <c r="C253" s="8">
        <v>1804</v>
      </c>
      <c r="D253" s="8">
        <f t="shared" si="47"/>
        <v>18.119393317814424</v>
      </c>
      <c r="E253" s="8">
        <v>18.120567093219154</v>
      </c>
      <c r="F253" s="8">
        <f t="shared" si="48"/>
        <v>18.109729667814399</v>
      </c>
      <c r="G253" s="9">
        <f t="shared" si="42"/>
        <v>-5.9807319213595967E-4</v>
      </c>
      <c r="H253" s="9">
        <f t="shared" si="43"/>
        <v>-1.0778912078750147E-2</v>
      </c>
      <c r="I253" s="9">
        <f t="shared" si="44"/>
        <v>-1.1730867998287486E-3</v>
      </c>
      <c r="K253" s="8">
        <f t="shared" si="45"/>
        <v>74073403.093196541</v>
      </c>
      <c r="L253" s="8">
        <f t="shared" si="46"/>
        <v>73986508.56180951</v>
      </c>
    </row>
    <row r="254" spans="2:12">
      <c r="B254" s="8">
        <v>18</v>
      </c>
      <c r="C254" s="8">
        <v>1805</v>
      </c>
      <c r="D254" s="8">
        <f t="shared" si="47"/>
        <v>18.099061677814426</v>
      </c>
      <c r="E254" s="8">
        <v>18.099199854524393</v>
      </c>
      <c r="F254" s="8">
        <f t="shared" si="48"/>
        <v>18.0897296678144</v>
      </c>
      <c r="G254" s="9">
        <f t="shared" si="42"/>
        <v>-5.2323786609971166E-4</v>
      </c>
      <c r="H254" s="9">
        <f t="shared" si="43"/>
        <v>-9.4254857120550373E-3</v>
      </c>
      <c r="I254" s="9">
        <f t="shared" si="44"/>
        <v>-1.381671640053872E-4</v>
      </c>
      <c r="K254" s="8">
        <f t="shared" si="45"/>
        <v>72507448.648323789</v>
      </c>
      <c r="L254" s="8">
        <f t="shared" si="46"/>
        <v>72497430.499774784</v>
      </c>
    </row>
    <row r="255" spans="2:12">
      <c r="B255" s="8">
        <v>19</v>
      </c>
      <c r="C255" s="8">
        <v>1806</v>
      </c>
      <c r="D255" s="8">
        <f t="shared" si="47"/>
        <v>18.078577967814429</v>
      </c>
      <c r="E255" s="8">
        <v>18.077621190875654</v>
      </c>
      <c r="F255" s="8">
        <f t="shared" si="48"/>
        <v>18.0697296678144</v>
      </c>
      <c r="G255" s="9">
        <f t="shared" si="42"/>
        <v>-4.3653548096454396E-4</v>
      </c>
      <c r="H255" s="9">
        <f t="shared" si="43"/>
        <v>-7.8604667407262685E-3</v>
      </c>
      <c r="I255" s="9">
        <f t="shared" si="44"/>
        <v>9.5723479584108873E-4</v>
      </c>
      <c r="K255" s="8">
        <f t="shared" si="45"/>
        <v>70959595.167972341</v>
      </c>
      <c r="L255" s="8">
        <f t="shared" si="46"/>
        <v>71027520.161565915</v>
      </c>
    </row>
    <row r="256" spans="2:12">
      <c r="B256" s="8">
        <v>20</v>
      </c>
      <c r="C256" s="8">
        <v>1807</v>
      </c>
      <c r="D256" s="8">
        <f t="shared" si="47"/>
        <v>18.057933967814431</v>
      </c>
      <c r="E256" s="8">
        <v>18.055852420595286</v>
      </c>
      <c r="F256" s="8">
        <f t="shared" si="48"/>
        <v>18.0497296678144</v>
      </c>
      <c r="G256" s="9">
        <f t="shared" si="42"/>
        <v>-3.3910073245293891E-4</v>
      </c>
      <c r="H256" s="9">
        <f t="shared" si="43"/>
        <v>-6.1040469266562258E-3</v>
      </c>
      <c r="I256" s="9">
        <f t="shared" si="44"/>
        <v>2.083715142508602E-3</v>
      </c>
      <c r="K256" s="8">
        <f t="shared" si="45"/>
        <v>69431583.845909774</v>
      </c>
      <c r="L256" s="8">
        <f t="shared" si="46"/>
        <v>69576259.488537833</v>
      </c>
    </row>
    <row r="257" spans="2:12">
      <c r="B257" s="8">
        <v>21</v>
      </c>
      <c r="C257" s="8">
        <v>1808</v>
      </c>
      <c r="D257" s="8">
        <f t="shared" si="47"/>
        <v>18.037121457814433</v>
      </c>
      <c r="E257" s="8">
        <v>18.033925550727396</v>
      </c>
      <c r="F257" s="8">
        <f t="shared" si="48"/>
        <v>18.029729667814401</v>
      </c>
      <c r="G257" s="9">
        <f t="shared" si="42"/>
        <v>-2.3266608821206371E-4</v>
      </c>
      <c r="H257" s="9">
        <f t="shared" si="43"/>
        <v>-4.1870924951046273E-3</v>
      </c>
      <c r="I257" s="9">
        <f t="shared" si="44"/>
        <v>3.201019442844899E-3</v>
      </c>
      <c r="K257" s="8">
        <f t="shared" si="45"/>
        <v>67925736.137828439</v>
      </c>
      <c r="L257" s="8">
        <f t="shared" si="46"/>
        <v>68143167.739875183</v>
      </c>
    </row>
    <row r="258" spans="2:12">
      <c r="B258" s="8">
        <v>22</v>
      </c>
      <c r="C258" s="8">
        <v>1809</v>
      </c>
      <c r="D258" s="8">
        <f t="shared" si="47"/>
        <v>18.016132217814434</v>
      </c>
      <c r="E258" s="8">
        <v>18.011861086281392</v>
      </c>
      <c r="F258" s="8">
        <f t="shared" si="48"/>
        <v>18.009729667814401</v>
      </c>
      <c r="G258" s="9">
        <f t="shared" si="42"/>
        <v>-1.1833416084996035E-4</v>
      </c>
      <c r="H258" s="9">
        <f t="shared" si="43"/>
        <v>-2.129148607610265E-3</v>
      </c>
      <c r="I258" s="9">
        <f t="shared" si="44"/>
        <v>4.2802658152714113E-3</v>
      </c>
      <c r="K258" s="8">
        <f t="shared" si="45"/>
        <v>66443404.710159294</v>
      </c>
      <c r="L258" s="8">
        <f t="shared" si="46"/>
        <v>66727800.143990427</v>
      </c>
    </row>
    <row r="259" spans="2:12">
      <c r="B259" s="8">
        <v>23</v>
      </c>
      <c r="C259" s="8">
        <v>1810</v>
      </c>
      <c r="D259" s="8">
        <f t="shared" si="47"/>
        <v>17.994958027814434</v>
      </c>
      <c r="E259" s="8">
        <v>17.989695167739288</v>
      </c>
      <c r="F259" s="8">
        <f t="shared" si="48"/>
        <v>17.989729667814402</v>
      </c>
      <c r="G259" s="9">
        <f t="shared" si="42"/>
        <v>1.9177687443562076E-6</v>
      </c>
      <c r="H259" s="9">
        <f t="shared" si="43"/>
        <v>3.4500670247572529E-5</v>
      </c>
      <c r="I259" s="9">
        <f t="shared" si="44"/>
        <v>5.2767332500793795E-3</v>
      </c>
      <c r="K259" s="8">
        <f t="shared" si="45"/>
        <v>64986828.426880904</v>
      </c>
      <c r="L259" s="8">
        <f t="shared" si="46"/>
        <v>65329746.585258223</v>
      </c>
    </row>
    <row r="260" spans="2:12">
      <c r="B260" s="8">
        <v>24</v>
      </c>
      <c r="C260" s="8">
        <v>1811</v>
      </c>
      <c r="D260" s="8">
        <f t="shared" si="47"/>
        <v>17.973590667814435</v>
      </c>
      <c r="E260" s="8">
        <v>17.967445582960039</v>
      </c>
      <c r="F260" s="8">
        <f t="shared" si="48"/>
        <v>17.969729667814402</v>
      </c>
      <c r="G260" s="9">
        <f t="shared" si="42"/>
        <v>1.2712351590641376E-4</v>
      </c>
      <c r="H260" s="9">
        <f t="shared" si="43"/>
        <v>2.2866953633369214E-3</v>
      </c>
      <c r="I260" s="9">
        <f t="shared" si="44"/>
        <v>6.1640046230033718E-3</v>
      </c>
      <c r="K260" s="8">
        <f t="shared" si="45"/>
        <v>63556865.509571947</v>
      </c>
      <c r="L260" s="8">
        <f t="shared" si="46"/>
        <v>63948630.322396547</v>
      </c>
    </row>
    <row r="261" spans="2:12">
      <c r="B261" s="8">
        <v>25</v>
      </c>
      <c r="C261" s="8">
        <v>1812</v>
      </c>
      <c r="D261" s="8">
        <f t="shared" si="47"/>
        <v>17.952021917814438</v>
      </c>
      <c r="E261" s="8">
        <v>17.945168426199022</v>
      </c>
      <c r="F261" s="8">
        <f t="shared" si="48"/>
        <v>17.949729667814402</v>
      </c>
      <c r="G261" s="9">
        <f t="shared" si="42"/>
        <v>2.5417658430676378E-4</v>
      </c>
      <c r="H261" s="9">
        <f t="shared" si="43"/>
        <v>4.5716599120178003E-3</v>
      </c>
      <c r="I261" s="9">
        <f t="shared" si="44"/>
        <v>6.8770305329428627E-3</v>
      </c>
      <c r="K261" s="8">
        <f t="shared" si="45"/>
        <v>62156653.530904219</v>
      </c>
      <c r="L261" s="8">
        <f t="shared" si="46"/>
        <v>62584106.735061802</v>
      </c>
    </row>
    <row r="262" spans="2:12">
      <c r="B262" s="8">
        <v>26</v>
      </c>
      <c r="C262" s="8">
        <v>1813</v>
      </c>
      <c r="D262" s="8">
        <f t="shared" si="47"/>
        <v>17.930243557814439</v>
      </c>
      <c r="E262" s="8">
        <v>17.922813950443562</v>
      </c>
      <c r="F262" s="8">
        <f t="shared" si="48"/>
        <v>17.929729667814403</v>
      </c>
      <c r="G262" s="9">
        <f t="shared" si="42"/>
        <v>3.8586113709393417E-4</v>
      </c>
      <c r="H262" s="9">
        <f t="shared" si="43"/>
        <v>6.9396861661645826E-3</v>
      </c>
      <c r="I262" s="9">
        <f t="shared" si="44"/>
        <v>7.4572753820953963E-3</v>
      </c>
      <c r="K262" s="8">
        <f t="shared" si="45"/>
        <v>60782589.586495399</v>
      </c>
      <c r="L262" s="8">
        <f t="shared" si="46"/>
        <v>61235862.095478781</v>
      </c>
    </row>
    <row r="263" spans="2:12">
      <c r="B263" s="8">
        <v>27</v>
      </c>
      <c r="C263" s="8">
        <v>1814</v>
      </c>
      <c r="D263" s="8">
        <f t="shared" si="47"/>
        <v>17.90824736781444</v>
      </c>
      <c r="E263" s="8">
        <v>17.900414284688917</v>
      </c>
      <c r="F263" s="8">
        <f t="shared" si="48"/>
        <v>17.909729667814403</v>
      </c>
      <c r="G263" s="9">
        <f t="shared" si="42"/>
        <v>5.2040042075751614E-4</v>
      </c>
      <c r="H263" s="9">
        <f t="shared" si="43"/>
        <v>9.3589063470587153E-3</v>
      </c>
      <c r="I263" s="9">
        <f t="shared" si="44"/>
        <v>7.8638419809198279E-3</v>
      </c>
      <c r="K263" s="8">
        <f t="shared" si="45"/>
        <v>59436215.35666427</v>
      </c>
      <c r="L263" s="8">
        <f t="shared" si="46"/>
        <v>59903612.362172998</v>
      </c>
    </row>
    <row r="264" spans="2:12">
      <c r="B264" s="8">
        <v>28</v>
      </c>
      <c r="C264" s="8">
        <v>1815</v>
      </c>
      <c r="D264" s="8">
        <f t="shared" si="47"/>
        <v>17.886025127814442</v>
      </c>
      <c r="E264" s="8">
        <v>17.877925688822021</v>
      </c>
      <c r="F264" s="8">
        <f t="shared" si="48"/>
        <v>17.889729667814404</v>
      </c>
      <c r="G264" s="9">
        <f t="shared" si="42"/>
        <v>6.602543940409728E-4</v>
      </c>
      <c r="H264" s="9">
        <f t="shared" si="43"/>
        <v>1.1873920879014177E-2</v>
      </c>
      <c r="I264" s="9">
        <f t="shared" si="44"/>
        <v>8.1323281831167105E-3</v>
      </c>
      <c r="K264" s="8">
        <f t="shared" si="45"/>
        <v>58114495.840734884</v>
      </c>
      <c r="L264" s="8">
        <f t="shared" si="46"/>
        <v>58587101.993108101</v>
      </c>
    </row>
    <row r="265" spans="2:12">
      <c r="B265" s="8">
        <v>29</v>
      </c>
      <c r="C265" s="8">
        <v>1816</v>
      </c>
      <c r="D265" s="8">
        <f t="shared" si="47"/>
        <v>17.863568617814444</v>
      </c>
      <c r="E265" s="8">
        <v>17.855418690910717</v>
      </c>
      <c r="F265" s="8">
        <f t="shared" si="48"/>
        <v>17.869729667814404</v>
      </c>
      <c r="G265" s="9">
        <f t="shared" si="42"/>
        <v>8.0149209332021245E-4</v>
      </c>
      <c r="H265" s="9">
        <f t="shared" si="43"/>
        <v>1.4413869177394512E-2</v>
      </c>
      <c r="I265" s="9">
        <f t="shared" si="44"/>
        <v>8.1832279635876137E-3</v>
      </c>
      <c r="K265" s="8">
        <f t="shared" si="45"/>
        <v>56821122.576578274</v>
      </c>
      <c r="L265" s="8">
        <f t="shared" si="46"/>
        <v>57286102.77576936</v>
      </c>
    </row>
    <row r="266" spans="2:12">
      <c r="B266" s="8">
        <v>30</v>
      </c>
      <c r="C266" s="8">
        <v>1817</v>
      </c>
      <c r="D266" s="8">
        <f t="shared" si="47"/>
        <v>17.840869617814445</v>
      </c>
      <c r="E266" s="8">
        <v>17.832835599441708</v>
      </c>
      <c r="F266" s="8">
        <f t="shared" si="48"/>
        <v>17.849729667814405</v>
      </c>
      <c r="G266" s="9">
        <f t="shared" si="42"/>
        <v>9.4735737782641156E-4</v>
      </c>
      <c r="H266" s="9">
        <f t="shared" si="43"/>
        <v>1.703758017279422E-2</v>
      </c>
      <c r="I266" s="9">
        <f t="shared" si="44"/>
        <v>8.0663776987675018E-3</v>
      </c>
      <c r="K266" s="8">
        <f t="shared" si="45"/>
        <v>55552306.783408917</v>
      </c>
      <c r="L266" s="8">
        <f t="shared" si="46"/>
        <v>56000412.671961702</v>
      </c>
    </row>
    <row r="267" spans="2:12">
      <c r="B267" s="8">
        <v>31</v>
      </c>
      <c r="C267" s="8">
        <v>1818</v>
      </c>
      <c r="D267" s="8">
        <f t="shared" si="47"/>
        <v>17.817919907814446</v>
      </c>
      <c r="E267" s="8">
        <v>17.810478219217121</v>
      </c>
      <c r="F267" s="8">
        <f t="shared" si="48"/>
        <v>17.829729667814405</v>
      </c>
      <c r="G267" s="9">
        <f t="shared" si="42"/>
        <v>1.0809057657145018E-3</v>
      </c>
      <c r="H267" s="9">
        <f t="shared" si="43"/>
        <v>1.9437952635623201E-2</v>
      </c>
      <c r="I267" s="9">
        <f t="shared" si="44"/>
        <v>7.4694467750981985E-3</v>
      </c>
      <c r="K267" s="8">
        <f t="shared" si="45"/>
        <v>54324083.822595581</v>
      </c>
      <c r="L267" s="8">
        <f t="shared" si="46"/>
        <v>54729854.675314434</v>
      </c>
    </row>
    <row r="268" spans="2:12">
      <c r="B268" s="8">
        <v>32</v>
      </c>
      <c r="C268" s="8">
        <v>1819</v>
      </c>
      <c r="D268" s="8">
        <f t="shared" si="47"/>
        <v>17.794711267814446</v>
      </c>
      <c r="E268" s="8">
        <v>17.787737747575083</v>
      </c>
      <c r="F268" s="8">
        <f t="shared" si="48"/>
        <v>17.809729667814405</v>
      </c>
      <c r="G268" s="9">
        <f t="shared" ref="G268:G299" si="49">(F268-E268)/E268</f>
        <v>1.2363528488787672E-3</v>
      </c>
      <c r="H268" s="9">
        <f t="shared" ref="H268:H299" si="50">EXP(F268-E268)-1</f>
        <v>2.2235525018673208E-2</v>
      </c>
      <c r="I268" s="9">
        <f t="shared" ref="I268:I299" si="51">EXP(D268-E268)-1</f>
        <v>6.9978918506650167E-3</v>
      </c>
      <c r="K268" s="8">
        <f t="shared" ref="K268:K299" si="52">EXP(E268)</f>
        <v>53102668.945442662</v>
      </c>
      <c r="L268" s="8">
        <f t="shared" ref="L268:L299" si="53">EXP(D268)</f>
        <v>53474275.679704539</v>
      </c>
    </row>
    <row r="269" spans="2:12">
      <c r="B269" s="8">
        <v>33</v>
      </c>
      <c r="C269" s="8">
        <v>1820</v>
      </c>
      <c r="D269" s="8">
        <f t="shared" ref="D269:D300" si="54">D268-$D$234+B269^2*$D$233</f>
        <v>17.771235477814447</v>
      </c>
      <c r="E269" s="8">
        <v>17.764907184951483</v>
      </c>
      <c r="F269" s="8">
        <f t="shared" ref="F269:F300" si="55">F268-F$234</f>
        <v>17.789729667814406</v>
      </c>
      <c r="G269" s="9">
        <f t="shared" si="49"/>
        <v>1.3972762483076893E-3</v>
      </c>
      <c r="H269" s="9">
        <f t="shared" si="50"/>
        <v>2.5133125673712176E-2</v>
      </c>
      <c r="I269" s="9">
        <f t="shared" si="51"/>
        <v>6.3483588136499236E-3</v>
      </c>
      <c r="K269" s="8">
        <f t="shared" si="52"/>
        <v>51904039.887941435</v>
      </c>
      <c r="L269" s="8">
        <f t="shared" si="53"/>
        <v>52233545.357028089</v>
      </c>
    </row>
    <row r="270" spans="2:12">
      <c r="B270" s="8">
        <v>34</v>
      </c>
      <c r="C270" s="8">
        <v>1821</v>
      </c>
      <c r="D270" s="8">
        <f t="shared" si="54"/>
        <v>17.747484317814447</v>
      </c>
      <c r="E270" s="8">
        <v>17.741904877124455</v>
      </c>
      <c r="F270" s="8">
        <f t="shared" si="55"/>
        <v>17.769729667814406</v>
      </c>
      <c r="G270" s="9">
        <f t="shared" si="49"/>
        <v>1.5683090898445471E-3</v>
      </c>
      <c r="H270" s="9">
        <f t="shared" si="50"/>
        <v>2.8215515707179728E-2</v>
      </c>
      <c r="I270" s="9">
        <f t="shared" si="51"/>
        <v>5.5950347577677917E-3</v>
      </c>
      <c r="K270" s="8">
        <f t="shared" si="52"/>
        <v>50723753.876971662</v>
      </c>
      <c r="L270" s="8">
        <f t="shared" si="53"/>
        <v>51007555.042957775</v>
      </c>
    </row>
    <row r="271" spans="2:12">
      <c r="B271" s="8">
        <v>35</v>
      </c>
      <c r="C271" s="8">
        <v>1822</v>
      </c>
      <c r="D271" s="8">
        <f t="shared" si="54"/>
        <v>17.723449567814448</v>
      </c>
      <c r="E271" s="8">
        <v>17.718757935487183</v>
      </c>
      <c r="F271" s="8">
        <f t="shared" si="55"/>
        <v>17.749729667814407</v>
      </c>
      <c r="G271" s="9">
        <f t="shared" si="49"/>
        <v>1.7479629463865271E-3</v>
      </c>
      <c r="H271" s="9">
        <f t="shared" si="50"/>
        <v>3.1456346603931706E-2</v>
      </c>
      <c r="I271" s="9">
        <f t="shared" si="51"/>
        <v>4.702655265995892E-3</v>
      </c>
      <c r="K271" s="8">
        <f t="shared" si="52"/>
        <v>49563138.276321068</v>
      </c>
      <c r="L271" s="8">
        <f t="shared" si="53"/>
        <v>49796216.629535489</v>
      </c>
    </row>
    <row r="272" spans="2:12">
      <c r="B272" s="8">
        <v>36</v>
      </c>
      <c r="C272" s="8">
        <v>1823</v>
      </c>
      <c r="D272" s="8">
        <f t="shared" si="54"/>
        <v>17.69912300781445</v>
      </c>
      <c r="E272" s="8">
        <v>17.695395942815665</v>
      </c>
      <c r="F272" s="8">
        <f t="shared" si="55"/>
        <v>17.729729667814407</v>
      </c>
      <c r="G272" s="9">
        <f t="shared" si="49"/>
        <v>1.9402631684362847E-3</v>
      </c>
      <c r="H272" s="9">
        <f t="shared" si="50"/>
        <v>3.4929931093178546E-2</v>
      </c>
      <c r="I272" s="9">
        <f t="shared" si="51"/>
        <v>3.7340191423682612E-3</v>
      </c>
      <c r="K272" s="8">
        <f t="shared" si="52"/>
        <v>48418665.240791902</v>
      </c>
      <c r="L272" s="8">
        <f t="shared" si="53"/>
        <v>48599461.463648938</v>
      </c>
    </row>
    <row r="273" spans="2:12">
      <c r="B273" s="8">
        <v>37</v>
      </c>
      <c r="C273" s="8">
        <v>1824</v>
      </c>
      <c r="D273" s="8">
        <f t="shared" si="54"/>
        <v>17.674496417814453</v>
      </c>
      <c r="E273" s="8">
        <v>17.671794876826201</v>
      </c>
      <c r="F273" s="8">
        <f t="shared" si="55"/>
        <v>17.709729667814408</v>
      </c>
      <c r="G273" s="9">
        <f t="shared" si="49"/>
        <v>2.1466292050476409E-3</v>
      </c>
      <c r="H273" s="9">
        <f t="shared" si="50"/>
        <v>3.8663500449688915E-2</v>
      </c>
      <c r="I273" s="9">
        <f t="shared" si="51"/>
        <v>2.7051934384478837E-3</v>
      </c>
      <c r="K273" s="8">
        <f t="shared" si="52"/>
        <v>47289312.51272577</v>
      </c>
      <c r="L273" s="8">
        <f t="shared" si="53"/>
        <v>47417239.250643909</v>
      </c>
    </row>
    <row r="274" spans="2:12">
      <c r="B274" s="8">
        <v>38</v>
      </c>
      <c r="C274" s="8">
        <v>1825</v>
      </c>
      <c r="D274" s="8">
        <f t="shared" si="54"/>
        <v>17.649561577814456</v>
      </c>
      <c r="E274" s="8">
        <v>17.648241882184095</v>
      </c>
      <c r="F274" s="8">
        <f t="shared" si="55"/>
        <v>17.689729667814408</v>
      </c>
      <c r="G274" s="9">
        <f t="shared" si="49"/>
        <v>2.3508169203072171E-3</v>
      </c>
      <c r="H274" s="9">
        <f t="shared" si="50"/>
        <v>4.2360429998078653E-2</v>
      </c>
      <c r="I274" s="9">
        <f t="shared" si="51"/>
        <v>1.3205668118285718E-3</v>
      </c>
      <c r="K274" s="8">
        <f t="shared" si="52"/>
        <v>46188521.933363169</v>
      </c>
      <c r="L274" s="8">
        <f t="shared" si="53"/>
        <v>46249516.962515786</v>
      </c>
    </row>
    <row r="275" spans="2:12">
      <c r="B275" s="8">
        <v>39</v>
      </c>
      <c r="C275" s="8">
        <v>1826</v>
      </c>
      <c r="D275" s="8">
        <f t="shared" si="54"/>
        <v>17.624310267814458</v>
      </c>
      <c r="E275" s="8">
        <v>17.6232932546868</v>
      </c>
      <c r="F275" s="8">
        <f t="shared" si="55"/>
        <v>17.669729667814408</v>
      </c>
      <c r="G275" s="9">
        <f t="shared" si="49"/>
        <v>2.6349452657073065E-3</v>
      </c>
      <c r="H275" s="9">
        <f t="shared" si="50"/>
        <v>4.7531467700989261E-2</v>
      </c>
      <c r="I275" s="9">
        <f t="shared" si="51"/>
        <v>1.0175304608723845E-3</v>
      </c>
      <c r="K275" s="8">
        <f t="shared" si="52"/>
        <v>45050437.557826385</v>
      </c>
      <c r="L275" s="8">
        <f t="shared" si="53"/>
        <v>45096277.750317104</v>
      </c>
    </row>
    <row r="276" spans="2:12">
      <c r="B276" s="8">
        <v>40</v>
      </c>
      <c r="C276" s="8">
        <v>1827</v>
      </c>
      <c r="D276" s="8">
        <f t="shared" si="54"/>
        <v>17.598734267814461</v>
      </c>
      <c r="E276" s="8">
        <v>17.59868751902485</v>
      </c>
      <c r="F276" s="8">
        <f t="shared" si="55"/>
        <v>17.649729667814409</v>
      </c>
      <c r="G276" s="9">
        <f t="shared" si="49"/>
        <v>2.9003383766193162E-3</v>
      </c>
      <c r="H276" s="9">
        <f t="shared" si="50"/>
        <v>5.2367248354130869E-2</v>
      </c>
      <c r="I276" s="9">
        <f t="shared" si="51"/>
        <v>4.6749882352647987E-5</v>
      </c>
      <c r="K276" s="8">
        <f t="shared" si="52"/>
        <v>43955464.947787046</v>
      </c>
      <c r="L276" s="8">
        <f t="shared" si="53"/>
        <v>43957519.860602111</v>
      </c>
    </row>
    <row r="277" spans="2:12">
      <c r="B277" s="8">
        <v>41</v>
      </c>
      <c r="C277" s="8">
        <v>1828</v>
      </c>
      <c r="D277" s="8">
        <f t="shared" si="54"/>
        <v>17.572825357814462</v>
      </c>
      <c r="E277" s="8">
        <v>17.573669788663217</v>
      </c>
      <c r="F277" s="8">
        <f t="shared" si="55"/>
        <v>17.629729667814409</v>
      </c>
      <c r="G277" s="9">
        <f t="shared" si="49"/>
        <v>3.1899927462706967E-3</v>
      </c>
      <c r="H277" s="9">
        <f t="shared" si="50"/>
        <v>5.7661013684269014E-2</v>
      </c>
      <c r="I277" s="9">
        <f t="shared" si="51"/>
        <v>-8.4407441735989686E-4</v>
      </c>
      <c r="K277" s="8">
        <f t="shared" si="52"/>
        <v>42869440.553968258</v>
      </c>
      <c r="L277" s="8">
        <f t="shared" si="53"/>
        <v>42833255.555910125</v>
      </c>
    </row>
    <row r="278" spans="2:12">
      <c r="B278" s="8">
        <v>42</v>
      </c>
      <c r="C278" s="8">
        <v>1829</v>
      </c>
      <c r="D278" s="8">
        <f t="shared" si="54"/>
        <v>17.546575317814465</v>
      </c>
      <c r="E278" s="8">
        <v>17.548157783949001</v>
      </c>
      <c r="F278" s="8">
        <f t="shared" si="55"/>
        <v>17.60972966781441</v>
      </c>
      <c r="G278" s="9">
        <f t="shared" si="49"/>
        <v>3.5087377617339971E-3</v>
      </c>
      <c r="H278" s="9">
        <f t="shared" si="50"/>
        <v>6.3506942771075936E-2</v>
      </c>
      <c r="I278" s="9">
        <f t="shared" si="51"/>
        <v>-1.5812146952099981E-3</v>
      </c>
      <c r="K278" s="8">
        <f t="shared" si="52"/>
        <v>41789588.350673184</v>
      </c>
      <c r="L278" s="8">
        <f t="shared" si="53"/>
        <v>41723510.039466329</v>
      </c>
    </row>
    <row r="279" spans="2:12">
      <c r="B279" s="8">
        <v>43</v>
      </c>
      <c r="C279" s="8">
        <v>1830</v>
      </c>
      <c r="D279" s="8">
        <f t="shared" si="54"/>
        <v>17.519975927814468</v>
      </c>
      <c r="E279" s="8">
        <v>17.522099138035539</v>
      </c>
      <c r="F279" s="8">
        <f t="shared" si="55"/>
        <v>17.58972966781441</v>
      </c>
      <c r="G279" s="9">
        <f t="shared" si="49"/>
        <v>3.859727607182865E-3</v>
      </c>
      <c r="H279" s="9">
        <f t="shared" si="50"/>
        <v>6.9969913419409613E-2</v>
      </c>
      <c r="I279" s="9">
        <f t="shared" si="51"/>
        <v>-2.1209578046501587E-3</v>
      </c>
      <c r="K279" s="8">
        <f t="shared" si="52"/>
        <v>40714674.49107182</v>
      </c>
      <c r="L279" s="8">
        <f t="shared" si="53"/>
        <v>40628320.384446196</v>
      </c>
    </row>
    <row r="280" spans="2:12">
      <c r="B280" s="8">
        <v>44</v>
      </c>
      <c r="C280" s="8">
        <v>1831</v>
      </c>
      <c r="D280" s="8">
        <f t="shared" si="54"/>
        <v>17.493018967814468</v>
      </c>
      <c r="E280" s="8">
        <v>17.495470551044708</v>
      </c>
      <c r="F280" s="8">
        <f t="shared" si="55"/>
        <v>17.569729667814411</v>
      </c>
      <c r="G280" s="9">
        <f t="shared" si="49"/>
        <v>4.2444766805811137E-3</v>
      </c>
      <c r="H280" s="9">
        <f t="shared" si="50"/>
        <v>7.7085860349588975E-2</v>
      </c>
      <c r="I280" s="9">
        <f t="shared" si="51"/>
        <v>-2.4485805543436046E-3</v>
      </c>
      <c r="K280" s="8">
        <f t="shared" si="52"/>
        <v>39644807.9742015</v>
      </c>
      <c r="L280" s="8">
        <f t="shared" si="53"/>
        <v>39547734.468315184</v>
      </c>
    </row>
    <row r="281" spans="2:12">
      <c r="B281" s="8">
        <v>45</v>
      </c>
      <c r="C281" s="8">
        <v>1832</v>
      </c>
      <c r="D281" s="8">
        <f t="shared" si="54"/>
        <v>17.465696217814468</v>
      </c>
      <c r="E281" s="8">
        <v>17.468156493098853</v>
      </c>
      <c r="F281" s="8">
        <f t="shared" si="55"/>
        <v>17.549729667814411</v>
      </c>
      <c r="G281" s="9">
        <f t="shared" si="49"/>
        <v>4.6698216121309234E-3</v>
      </c>
      <c r="H281" s="9">
        <f t="shared" si="50"/>
        <v>8.499260870477765E-2</v>
      </c>
      <c r="I281" s="9">
        <f t="shared" si="51"/>
        <v>-2.4572512876104291E-3</v>
      </c>
      <c r="K281" s="8">
        <f t="shared" si="52"/>
        <v>38576602.318629973</v>
      </c>
      <c r="L281" s="8">
        <f t="shared" si="53"/>
        <v>38481809.912910879</v>
      </c>
    </row>
    <row r="282" spans="2:12">
      <c r="B282" s="8">
        <v>46</v>
      </c>
      <c r="C282" s="8">
        <v>1833</v>
      </c>
      <c r="D282" s="8">
        <f t="shared" si="54"/>
        <v>17.43799945781447</v>
      </c>
      <c r="E282" s="8">
        <v>17.440092191173846</v>
      </c>
      <c r="F282" s="8">
        <f t="shared" si="55"/>
        <v>17.529729667814411</v>
      </c>
      <c r="G282" s="9">
        <f t="shared" si="49"/>
        <v>5.1397363992106123E-3</v>
      </c>
      <c r="H282" s="9">
        <f t="shared" si="50"/>
        <v>9.3777691859321832E-2</v>
      </c>
      <c r="I282" s="9">
        <f t="shared" si="51"/>
        <v>-2.0905451196530089E-3</v>
      </c>
      <c r="K282" s="8">
        <f t="shared" si="52"/>
        <v>37509027.345143728</v>
      </c>
      <c r="L282" s="8">
        <f t="shared" si="53"/>
        <v>37430613.031084411</v>
      </c>
    </row>
    <row r="283" spans="2:12">
      <c r="B283" s="8">
        <v>47</v>
      </c>
      <c r="C283" s="8">
        <v>1834</v>
      </c>
      <c r="D283" s="8">
        <f t="shared" si="54"/>
        <v>17.409920467814473</v>
      </c>
      <c r="E283" s="8">
        <v>17.41120721600705</v>
      </c>
      <c r="F283" s="8">
        <f t="shared" si="55"/>
        <v>17.509729667814412</v>
      </c>
      <c r="G283" s="9">
        <f t="shared" si="49"/>
        <v>5.6585652324432304E-3</v>
      </c>
      <c r="H283" s="9">
        <f t="shared" si="50"/>
        <v>0.10353918056535405</v>
      </c>
      <c r="I283" s="9">
        <f t="shared" si="51"/>
        <v>-1.2859206870895479E-3</v>
      </c>
      <c r="K283" s="8">
        <f t="shared" si="52"/>
        <v>36441078.117071413</v>
      </c>
      <c r="L283" s="8">
        <f t="shared" si="53"/>
        <v>36394217.780860826</v>
      </c>
    </row>
    <row r="284" spans="2:12">
      <c r="B284" s="8">
        <v>48</v>
      </c>
      <c r="C284" s="8">
        <v>1835</v>
      </c>
      <c r="D284" s="8">
        <f t="shared" si="54"/>
        <v>17.381451027814474</v>
      </c>
      <c r="E284" s="8">
        <v>17.381406761071045</v>
      </c>
      <c r="F284" s="8">
        <f t="shared" si="55"/>
        <v>17.489729667814412</v>
      </c>
      <c r="G284" s="9">
        <f t="shared" si="49"/>
        <v>6.232113903805383E-3</v>
      </c>
      <c r="H284" s="9">
        <f t="shared" si="50"/>
        <v>0.11440753700232986</v>
      </c>
      <c r="I284" s="9">
        <f t="shared" si="51"/>
        <v>4.4267723216639965E-5</v>
      </c>
      <c r="K284" s="8">
        <f t="shared" si="52"/>
        <v>35371138.928424001</v>
      </c>
      <c r="L284" s="8">
        <f t="shared" si="53"/>
        <v>35372704.728211939</v>
      </c>
    </row>
    <row r="285" spans="2:12">
      <c r="B285" s="8">
        <v>49</v>
      </c>
      <c r="C285" s="8">
        <v>1836</v>
      </c>
      <c r="D285" s="8">
        <f t="shared" si="54"/>
        <v>17.352582917814477</v>
      </c>
      <c r="E285" s="8">
        <v>17.350631520639819</v>
      </c>
      <c r="F285" s="8">
        <f t="shared" si="55"/>
        <v>17.469729667814413</v>
      </c>
      <c r="G285" s="9">
        <f t="shared" si="49"/>
        <v>6.8641966739318837E-3</v>
      </c>
      <c r="H285" s="9">
        <f t="shared" si="50"/>
        <v>0.12648047373864379</v>
      </c>
      <c r="I285" s="9">
        <f t="shared" si="51"/>
        <v>1.9533023891995516E-3</v>
      </c>
      <c r="K285" s="8">
        <f t="shared" si="52"/>
        <v>34299163.381878451</v>
      </c>
      <c r="L285" s="8">
        <f t="shared" si="53"/>
        <v>34366160.019659817</v>
      </c>
    </row>
    <row r="286" spans="2:12">
      <c r="B286" s="8">
        <v>50</v>
      </c>
      <c r="C286" s="8">
        <v>1837</v>
      </c>
      <c r="D286" s="8">
        <f t="shared" si="54"/>
        <v>17.323307917814478</v>
      </c>
      <c r="E286" s="8">
        <v>17.31872371786941</v>
      </c>
      <c r="F286" s="8">
        <f t="shared" si="55"/>
        <v>17.449729667814413</v>
      </c>
      <c r="G286" s="9">
        <f t="shared" si="49"/>
        <v>7.5644113318714774E-3</v>
      </c>
      <c r="H286" s="9">
        <f t="shared" si="50"/>
        <v>0.13997456407777253</v>
      </c>
      <c r="I286" s="9">
        <f t="shared" si="51"/>
        <v>4.5947234641297019E-3</v>
      </c>
      <c r="K286" s="8">
        <f t="shared" si="52"/>
        <v>33222028.332938019</v>
      </c>
      <c r="L286" s="8">
        <f t="shared" si="53"/>
        <v>33374674.366045352</v>
      </c>
    </row>
    <row r="287" spans="2:12">
      <c r="B287" s="8">
        <v>51</v>
      </c>
      <c r="C287" s="8">
        <v>1838</v>
      </c>
      <c r="D287" s="8">
        <f t="shared" si="54"/>
        <v>17.293617807814481</v>
      </c>
      <c r="E287" s="8">
        <v>17.285596647285509</v>
      </c>
      <c r="F287" s="8">
        <f t="shared" si="55"/>
        <v>17.429729667814414</v>
      </c>
      <c r="G287" s="9">
        <f t="shared" si="49"/>
        <v>8.3383306616459305E-3</v>
      </c>
      <c r="H287" s="9">
        <f t="shared" si="50"/>
        <v>0.15503774203783238</v>
      </c>
      <c r="I287" s="9">
        <f t="shared" si="51"/>
        <v>8.0534162221079786E-3</v>
      </c>
      <c r="K287" s="8">
        <f t="shared" si="52"/>
        <v>32139509.194188993</v>
      </c>
      <c r="L287" s="8">
        <f t="shared" si="53"/>
        <v>32398342.038904063</v>
      </c>
    </row>
    <row r="288" spans="2:12">
      <c r="B288" s="8">
        <v>52</v>
      </c>
      <c r="C288" s="8">
        <v>1839</v>
      </c>
      <c r="D288" s="8">
        <f t="shared" si="54"/>
        <v>17.263504367814484</v>
      </c>
      <c r="E288" s="8">
        <v>17.251128727239156</v>
      </c>
      <c r="F288" s="8">
        <f t="shared" si="55"/>
        <v>17.409729667814414</v>
      </c>
      <c r="G288" s="9">
        <f t="shared" si="49"/>
        <v>9.1936558519113594E-3</v>
      </c>
      <c r="H288" s="9">
        <f t="shared" si="50"/>
        <v>0.17187020750818238</v>
      </c>
      <c r="I288" s="9">
        <f t="shared" si="51"/>
        <v>1.2452535696539035E-2</v>
      </c>
      <c r="K288" s="8">
        <f t="shared" si="52"/>
        <v>31050601.16162147</v>
      </c>
      <c r="L288" s="8">
        <f t="shared" si="53"/>
        <v>31437259.880985562</v>
      </c>
    </row>
    <row r="289" spans="2:12">
      <c r="B289" s="8">
        <v>53</v>
      </c>
      <c r="C289" s="8">
        <v>1840</v>
      </c>
      <c r="D289" s="8">
        <f t="shared" si="54"/>
        <v>17.232959377814485</v>
      </c>
      <c r="E289" s="8">
        <v>17.215215440076886</v>
      </c>
      <c r="F289" s="8">
        <f t="shared" si="55"/>
        <v>17.389729667814414</v>
      </c>
      <c r="G289" s="9">
        <f t="shared" si="49"/>
        <v>1.0137208467996336E-2</v>
      </c>
      <c r="H289" s="9">
        <f t="shared" si="50"/>
        <v>0.19066768277177681</v>
      </c>
      <c r="I289" s="9">
        <f t="shared" si="51"/>
        <v>1.7902296651112648E-2</v>
      </c>
      <c r="K289" s="8">
        <f t="shared" si="52"/>
        <v>29955258.410220347</v>
      </c>
      <c r="L289" s="8">
        <f t="shared" si="53"/>
        <v>30491526.332540847</v>
      </c>
    </row>
    <row r="290" spans="2:12">
      <c r="B290" s="8">
        <v>54</v>
      </c>
      <c r="C290" s="8">
        <v>1841</v>
      </c>
      <c r="D290" s="8">
        <f t="shared" si="54"/>
        <v>17.201974617814486</v>
      </c>
      <c r="E290" s="8">
        <v>17.177696526423215</v>
      </c>
      <c r="F290" s="8">
        <f t="shared" si="55"/>
        <v>17.369729667814415</v>
      </c>
      <c r="G290" s="9">
        <f t="shared" si="49"/>
        <v>1.1179213761042335E-2</v>
      </c>
      <c r="H290" s="9">
        <f t="shared" si="50"/>
        <v>0.21171067407693589</v>
      </c>
      <c r="I290" s="9">
        <f t="shared" si="51"/>
        <v>2.4575203820514924E-2</v>
      </c>
      <c r="K290" s="8">
        <f t="shared" si="52"/>
        <v>28852191.976581629</v>
      </c>
      <c r="L290" s="8">
        <f t="shared" si="53"/>
        <v>29561240.475074746</v>
      </c>
    </row>
    <row r="291" spans="2:12">
      <c r="B291" s="8">
        <v>55</v>
      </c>
      <c r="C291" s="8">
        <v>1842</v>
      </c>
      <c r="D291" s="8">
        <f t="shared" si="54"/>
        <v>17.170541867814489</v>
      </c>
      <c r="E291" s="8">
        <v>17.138413010789254</v>
      </c>
      <c r="F291" s="8">
        <f t="shared" si="55"/>
        <v>17.349729667814415</v>
      </c>
      <c r="G291" s="9">
        <f t="shared" si="49"/>
        <v>1.2330001435496387E-2</v>
      </c>
      <c r="H291" s="9">
        <f t="shared" si="50"/>
        <v>0.23530346065398189</v>
      </c>
      <c r="I291" s="9">
        <f t="shared" si="51"/>
        <v>3.2650561011752233E-2</v>
      </c>
      <c r="K291" s="8">
        <f t="shared" si="52"/>
        <v>27740750.042548038</v>
      </c>
      <c r="L291" s="8">
        <f t="shared" si="53"/>
        <v>28646501.094324019</v>
      </c>
    </row>
    <row r="292" spans="2:12">
      <c r="B292" s="8">
        <v>56</v>
      </c>
      <c r="C292" s="8">
        <v>1843</v>
      </c>
      <c r="D292" s="8">
        <f t="shared" si="54"/>
        <v>17.138652907814489</v>
      </c>
      <c r="E292" s="8">
        <v>17.097246807851985</v>
      </c>
      <c r="F292" s="8">
        <f t="shared" si="55"/>
        <v>17.329729667814416</v>
      </c>
      <c r="G292" s="9">
        <f t="shared" si="49"/>
        <v>1.3597678186154647E-2</v>
      </c>
      <c r="H292" s="9">
        <f t="shared" si="50"/>
        <v>0.26172882009427112</v>
      </c>
      <c r="I292" s="9">
        <f t="shared" si="51"/>
        <v>4.2275287567762554E-2</v>
      </c>
      <c r="K292" s="8">
        <f t="shared" si="52"/>
        <v>26621954.962612569</v>
      </c>
      <c r="L292" s="8">
        <f t="shared" si="53"/>
        <v>27747405.764273036</v>
      </c>
    </row>
    <row r="293" spans="2:12">
      <c r="B293" s="8">
        <v>57</v>
      </c>
      <c r="C293" s="8">
        <v>1844</v>
      </c>
      <c r="D293" s="8">
        <f t="shared" si="54"/>
        <v>17.106299517814492</v>
      </c>
      <c r="E293" s="8">
        <v>17.053978744651257</v>
      </c>
      <c r="F293" s="8">
        <f t="shared" si="55"/>
        <v>17.309729667814416</v>
      </c>
      <c r="G293" s="9">
        <f t="shared" si="49"/>
        <v>1.4996554586616445E-2</v>
      </c>
      <c r="H293" s="9">
        <f t="shared" si="50"/>
        <v>0.29143102232262019</v>
      </c>
      <c r="I293" s="9">
        <f t="shared" si="51"/>
        <v>5.3713691381931383E-2</v>
      </c>
      <c r="K293" s="8">
        <f t="shared" si="52"/>
        <v>25494638.793984383</v>
      </c>
      <c r="L293" s="8">
        <f t="shared" si="53"/>
        <v>26864049.954058278</v>
      </c>
    </row>
    <row r="294" spans="2:12">
      <c r="B294" s="8">
        <v>58</v>
      </c>
      <c r="C294" s="8">
        <v>1845</v>
      </c>
      <c r="D294" s="8">
        <f t="shared" si="54"/>
        <v>17.073473477814492</v>
      </c>
      <c r="E294" s="8">
        <v>17.008406192682653</v>
      </c>
      <c r="F294" s="8">
        <f t="shared" si="55"/>
        <v>17.289729667814417</v>
      </c>
      <c r="G294" s="9">
        <f t="shared" si="49"/>
        <v>1.6540260853647445E-2</v>
      </c>
      <c r="H294" s="9">
        <f t="shared" si="50"/>
        <v>0.32488210103964743</v>
      </c>
      <c r="I294" s="9">
        <f t="shared" si="51"/>
        <v>6.723083073556424E-2</v>
      </c>
      <c r="K294" s="8">
        <f t="shared" si="52"/>
        <v>24358859.780801956</v>
      </c>
      <c r="L294" s="8">
        <f t="shared" si="53"/>
        <v>25996526.159636397</v>
      </c>
    </row>
    <row r="295" spans="2:12">
      <c r="B295" s="8">
        <v>59</v>
      </c>
      <c r="C295" s="8">
        <v>1846</v>
      </c>
      <c r="D295" s="8">
        <f t="shared" si="54"/>
        <v>17.040166567814495</v>
      </c>
      <c r="E295" s="8">
        <v>16.959480470878312</v>
      </c>
      <c r="F295" s="8">
        <f t="shared" si="55"/>
        <v>17.269729667814417</v>
      </c>
      <c r="G295" s="9">
        <f t="shared" si="49"/>
        <v>1.8293555481775792E-2</v>
      </c>
      <c r="H295" s="9">
        <f t="shared" si="50"/>
        <v>0.36376491783049048</v>
      </c>
      <c r="I295" s="9">
        <f t="shared" si="51"/>
        <v>8.4030562638740536E-2</v>
      </c>
      <c r="K295" s="8">
        <f t="shared" si="52"/>
        <v>23195769.500170019</v>
      </c>
      <c r="L295" s="8">
        <f t="shared" si="53"/>
        <v>25144923.062107842</v>
      </c>
    </row>
    <row r="296" spans="2:12">
      <c r="B296" s="8">
        <v>60</v>
      </c>
      <c r="C296" s="8">
        <v>1847</v>
      </c>
      <c r="D296" s="8">
        <f t="shared" si="54"/>
        <v>17.006370567814496</v>
      </c>
      <c r="E296" s="8">
        <v>16.908720140547167</v>
      </c>
      <c r="F296" s="8">
        <f t="shared" si="55"/>
        <v>17.249729667814417</v>
      </c>
      <c r="G296" s="9">
        <f t="shared" si="49"/>
        <v>2.016767232722174E-2</v>
      </c>
      <c r="H296" s="9">
        <f t="shared" si="50"/>
        <v>0.40636663962916941</v>
      </c>
      <c r="I296" s="9">
        <f t="shared" si="51"/>
        <v>0.10257728677746103</v>
      </c>
      <c r="K296" s="8">
        <f t="shared" si="52"/>
        <v>22047728.541219413</v>
      </c>
      <c r="L296" s="8">
        <f t="shared" si="53"/>
        <v>24309324.714583687</v>
      </c>
    </row>
    <row r="297" spans="2:12">
      <c r="B297" s="8">
        <v>61</v>
      </c>
      <c r="C297" s="8">
        <v>1848</v>
      </c>
      <c r="D297" s="8">
        <f t="shared" si="54"/>
        <v>16.972077257814497</v>
      </c>
      <c r="E297" s="8">
        <v>16.85503455359412</v>
      </c>
      <c r="F297" s="8">
        <f t="shared" si="55"/>
        <v>17.229729667814418</v>
      </c>
      <c r="G297" s="9">
        <f t="shared" si="49"/>
        <v>2.2230456605050339E-2</v>
      </c>
      <c r="H297" s="9">
        <f t="shared" si="50"/>
        <v>0.45454787604403379</v>
      </c>
      <c r="I297" s="9">
        <f t="shared" si="51"/>
        <v>0.12416743535940822</v>
      </c>
      <c r="K297" s="8">
        <f t="shared" si="52"/>
        <v>20895294.615934655</v>
      </c>
      <c r="L297" s="8">
        <f t="shared" si="53"/>
        <v>23489809.759474512</v>
      </c>
    </row>
    <row r="298" spans="2:12">
      <c r="B298" s="8">
        <v>62</v>
      </c>
      <c r="C298" s="8">
        <v>1849</v>
      </c>
      <c r="D298" s="8">
        <f t="shared" si="54"/>
        <v>16.9372784178145</v>
      </c>
      <c r="E298" s="8">
        <v>16.798085350935729</v>
      </c>
      <c r="F298" s="8">
        <f t="shared" si="55"/>
        <v>17.209729667814418</v>
      </c>
      <c r="G298" s="9">
        <f t="shared" si="49"/>
        <v>2.4505430724922408E-2</v>
      </c>
      <c r="H298" s="9">
        <f t="shared" si="50"/>
        <v>0.50929750919738881</v>
      </c>
      <c r="I298" s="9">
        <f t="shared" si="51"/>
        <v>0.14934597922498916</v>
      </c>
      <c r="K298" s="8">
        <f t="shared" si="52"/>
        <v>19738574.013499182</v>
      </c>
      <c r="L298" s="8">
        <f t="shared" si="53"/>
        <v>22686450.678050142</v>
      </c>
    </row>
    <row r="299" spans="2:12">
      <c r="B299" s="8">
        <v>63</v>
      </c>
      <c r="C299" s="8">
        <v>1850</v>
      </c>
      <c r="D299" s="8">
        <f t="shared" si="54"/>
        <v>16.901965827814504</v>
      </c>
      <c r="E299" s="8">
        <v>16.737597698359959</v>
      </c>
      <c r="F299" s="8">
        <f t="shared" si="55"/>
        <v>17.189729667814419</v>
      </c>
      <c r="G299" s="9">
        <f t="shared" si="49"/>
        <v>2.7012954762245349E-2</v>
      </c>
      <c r="H299" s="9">
        <f t="shared" si="50"/>
        <v>0.57165934591876799</v>
      </c>
      <c r="I299" s="9">
        <f t="shared" si="51"/>
        <v>0.17864813033105809</v>
      </c>
      <c r="K299" s="8">
        <f t="shared" si="52"/>
        <v>18580026.142264057</v>
      </c>
      <c r="L299" s="8">
        <f t="shared" si="53"/>
        <v>21899313.074081711</v>
      </c>
    </row>
    <row r="300" spans="2:12">
      <c r="B300" s="8">
        <v>64</v>
      </c>
      <c r="C300" s="8">
        <v>1851</v>
      </c>
      <c r="D300" s="8">
        <f t="shared" si="54"/>
        <v>16.866131267814506</v>
      </c>
      <c r="E300" s="8">
        <v>16.673386625874013</v>
      </c>
      <c r="F300" s="8">
        <f t="shared" si="55"/>
        <v>17.169729667814419</v>
      </c>
      <c r="G300" s="9">
        <f t="shared" ref="G300:G317" si="56">(F300-E300)/E300</f>
        <v>2.9768579897869917E-2</v>
      </c>
      <c r="H300" s="9">
        <f t="shared" ref="H300:H317" si="57">EXP(F300-E300)-1</f>
        <v>0.64270297719174962</v>
      </c>
      <c r="I300" s="9">
        <f t="shared" ref="I300:I317" si="58">EXP(D300-E300)-1</f>
        <v>0.21257311366386333</v>
      </c>
      <c r="K300" s="8">
        <f t="shared" ref="K300:K317" si="59">EXP(E300)</f>
        <v>17424479.196543526</v>
      </c>
      <c r="L300" s="8">
        <f t="shared" ref="L300:L317" si="60">EXP(D300)</f>
        <v>21128454.993323997</v>
      </c>
    </row>
    <row r="301" spans="2:12">
      <c r="B301" s="8">
        <v>65</v>
      </c>
      <c r="C301" s="8">
        <v>1852</v>
      </c>
      <c r="D301" s="8">
        <f t="shared" ref="D301:D335" si="61">D300-$D$234+B301^2*$D$233</f>
        <v>16.829766517814509</v>
      </c>
      <c r="E301" s="8">
        <v>16.605026063251668</v>
      </c>
      <c r="F301" s="8">
        <f t="shared" ref="F301:F335" si="62">F300-F$234</f>
        <v>17.14972966781442</v>
      </c>
      <c r="G301" s="9">
        <f t="shared" si="56"/>
        <v>3.2803538066599448E-2</v>
      </c>
      <c r="H301" s="9">
        <f t="shared" si="57"/>
        <v>0.724097292067019</v>
      </c>
      <c r="I301" s="9">
        <f t="shared" si="58"/>
        <v>0.25199772372200724</v>
      </c>
      <c r="K301" s="8">
        <f t="shared" si="59"/>
        <v>16273133.644333676</v>
      </c>
      <c r="L301" s="8">
        <f t="shared" si="60"/>
        <v>20373926.280529775</v>
      </c>
    </row>
    <row r="302" spans="2:12">
      <c r="B302" s="8">
        <v>66</v>
      </c>
      <c r="C302" s="8">
        <v>1853</v>
      </c>
      <c r="D302" s="8">
        <f t="shared" si="61"/>
        <v>16.792863357814511</v>
      </c>
      <c r="E302" s="8">
        <v>16.532201474514306</v>
      </c>
      <c r="F302" s="8">
        <f t="shared" si="62"/>
        <v>17.12972966781442</v>
      </c>
      <c r="G302" s="9">
        <f t="shared" si="56"/>
        <v>3.614329248414079E-2</v>
      </c>
      <c r="H302" s="9">
        <f t="shared" si="57"/>
        <v>0.81762043676474239</v>
      </c>
      <c r="I302" s="9">
        <f t="shared" si="58"/>
        <v>0.29778878718008572</v>
      </c>
      <c r="K302" s="8">
        <f t="shared" si="59"/>
        <v>15130172.312765189</v>
      </c>
      <c r="L302" s="8">
        <f t="shared" si="60"/>
        <v>19635767.975609247</v>
      </c>
    </row>
    <row r="303" spans="2:12">
      <c r="B303" s="8">
        <v>67</v>
      </c>
      <c r="C303" s="8">
        <v>1854</v>
      </c>
      <c r="D303" s="8">
        <f t="shared" si="61"/>
        <v>16.755413567814514</v>
      </c>
      <c r="E303" s="8">
        <v>16.454527851391134</v>
      </c>
      <c r="F303" s="8">
        <f t="shared" si="62"/>
        <v>17.10972966781442</v>
      </c>
      <c r="G303" s="9">
        <f t="shared" si="56"/>
        <v>3.9818937519249011E-2</v>
      </c>
      <c r="H303" s="9">
        <f t="shared" si="57"/>
        <v>0.9255310819615743</v>
      </c>
      <c r="I303" s="9">
        <f t="shared" si="58"/>
        <v>0.35105492932526072</v>
      </c>
      <c r="K303" s="8">
        <f t="shared" si="59"/>
        <v>13999439.504582545</v>
      </c>
      <c r="L303" s="8">
        <f t="shared" si="60"/>
        <v>18914011.750457034</v>
      </c>
    </row>
    <row r="304" spans="2:12">
      <c r="B304" s="8">
        <v>68</v>
      </c>
      <c r="C304" s="8">
        <v>1855</v>
      </c>
      <c r="D304" s="8">
        <f t="shared" si="61"/>
        <v>16.717408927814517</v>
      </c>
      <c r="E304" s="8">
        <v>16.371505597834879</v>
      </c>
      <c r="F304" s="8">
        <f t="shared" si="62"/>
        <v>17.089729667814421</v>
      </c>
      <c r="G304" s="9">
        <f t="shared" si="56"/>
        <v>4.3870373783735941E-2</v>
      </c>
      <c r="H304" s="9">
        <f t="shared" si="57"/>
        <v>1.0507879188796991</v>
      </c>
      <c r="I304" s="9">
        <f t="shared" si="58"/>
        <v>0.41326598876200293</v>
      </c>
      <c r="K304" s="8">
        <f t="shared" si="59"/>
        <v>12884113.487946719</v>
      </c>
      <c r="L304" s="8">
        <f t="shared" si="60"/>
        <v>18208679.387864877</v>
      </c>
    </row>
    <row r="305" spans="2:12">
      <c r="B305" s="8">
        <v>69</v>
      </c>
      <c r="C305" s="8">
        <v>1856</v>
      </c>
      <c r="D305" s="8">
        <f t="shared" si="61"/>
        <v>16.678841217814519</v>
      </c>
      <c r="E305" s="8">
        <v>16.282860402982823</v>
      </c>
      <c r="F305" s="8">
        <f t="shared" si="62"/>
        <v>17.069729667814421</v>
      </c>
      <c r="G305" s="9">
        <f t="shared" si="56"/>
        <v>4.8325002202159323E-2</v>
      </c>
      <c r="H305" s="9">
        <f t="shared" si="57"/>
        <v>1.196508962612274</v>
      </c>
      <c r="I305" s="9">
        <f t="shared" si="58"/>
        <v>0.48584081117190436</v>
      </c>
      <c r="K305" s="8">
        <f t="shared" si="59"/>
        <v>11791157.015000975</v>
      </c>
      <c r="L305" s="8">
        <f t="shared" si="60"/>
        <v>17519782.303824339</v>
      </c>
    </row>
    <row r="306" spans="2:12">
      <c r="B306" s="8">
        <v>70</v>
      </c>
      <c r="C306" s="8">
        <v>1857</v>
      </c>
      <c r="D306" s="8">
        <f t="shared" si="61"/>
        <v>16.63970221781452</v>
      </c>
      <c r="E306" s="8">
        <v>16.18800845105957</v>
      </c>
      <c r="F306" s="8">
        <f t="shared" si="62"/>
        <v>17.049729667814422</v>
      </c>
      <c r="G306" s="9">
        <f t="shared" si="56"/>
        <v>5.3232071095098081E-2</v>
      </c>
      <c r="H306" s="9">
        <f t="shared" si="57"/>
        <v>1.3672317080301792</v>
      </c>
      <c r="I306" s="9">
        <f t="shared" si="58"/>
        <v>0.57097079142491403</v>
      </c>
      <c r="K306" s="8">
        <f t="shared" si="59"/>
        <v>10724146.627268652</v>
      </c>
      <c r="L306" s="8">
        <f t="shared" si="60"/>
        <v>16847321.114397056</v>
      </c>
    </row>
    <row r="307" spans="2:12">
      <c r="B307" s="8">
        <v>71</v>
      </c>
      <c r="C307" s="8">
        <v>1858</v>
      </c>
      <c r="D307" s="8">
        <f t="shared" si="61"/>
        <v>16.599983707814523</v>
      </c>
      <c r="E307" s="8">
        <v>16.086473999186573</v>
      </c>
      <c r="F307" s="8">
        <f t="shared" si="62"/>
        <v>17.029729667814422</v>
      </c>
      <c r="G307" s="9">
        <f t="shared" si="56"/>
        <v>5.8636570616752023E-2</v>
      </c>
      <c r="H307" s="9">
        <f t="shared" si="57"/>
        <v>1.5683294513617643</v>
      </c>
      <c r="I307" s="9">
        <f t="shared" si="58"/>
        <v>0.67114615040454484</v>
      </c>
      <c r="K307" s="8">
        <f t="shared" si="59"/>
        <v>9688730.8415691294</v>
      </c>
      <c r="L307" s="8">
        <f t="shared" si="60"/>
        <v>16191285.248194037</v>
      </c>
    </row>
    <row r="308" spans="2:12">
      <c r="B308" s="8">
        <v>72</v>
      </c>
      <c r="C308" s="8">
        <v>1859</v>
      </c>
      <c r="D308" s="8">
        <f t="shared" si="61"/>
        <v>16.559677467814524</v>
      </c>
      <c r="E308" s="8">
        <v>15.977806639879722</v>
      </c>
      <c r="F308" s="8">
        <f t="shared" si="62"/>
        <v>17.009729667814423</v>
      </c>
      <c r="G308" s="9">
        <f t="shared" si="56"/>
        <v>6.4584773817394803E-2</v>
      </c>
      <c r="H308" s="9">
        <f t="shared" si="57"/>
        <v>1.8064575450894278</v>
      </c>
      <c r="I308" s="9">
        <f t="shared" si="58"/>
        <v>0.78938292885371286</v>
      </c>
      <c r="K308" s="8">
        <f t="shared" si="59"/>
        <v>8691070.1754162572</v>
      </c>
      <c r="L308" s="8">
        <f t="shared" si="60"/>
        <v>15551652.605359495</v>
      </c>
    </row>
    <row r="309" spans="2:12">
      <c r="B309" s="8">
        <v>73</v>
      </c>
      <c r="C309" s="8">
        <v>1860</v>
      </c>
      <c r="D309" s="8">
        <f t="shared" si="61"/>
        <v>16.518775277814527</v>
      </c>
      <c r="E309" s="8">
        <v>15.861250846594469</v>
      </c>
      <c r="F309" s="8">
        <f t="shared" si="62"/>
        <v>16.989729667814423</v>
      </c>
      <c r="G309" s="9">
        <f t="shared" si="56"/>
        <v>7.1146899581519873E-2</v>
      </c>
      <c r="H309" s="9">
        <f t="shared" si="57"/>
        <v>2.0909510329821579</v>
      </c>
      <c r="I309" s="9">
        <f t="shared" si="58"/>
        <v>0.93000854664422161</v>
      </c>
      <c r="K309" s="8">
        <f t="shared" si="59"/>
        <v>7734882.4645139584</v>
      </c>
      <c r="L309" s="8">
        <f t="shared" si="60"/>
        <v>14928389.263800459</v>
      </c>
    </row>
    <row r="310" spans="2:12">
      <c r="B310" s="8">
        <v>74</v>
      </c>
      <c r="C310" s="8">
        <v>1861</v>
      </c>
      <c r="D310" s="8">
        <f t="shared" si="61"/>
        <v>16.477268917814527</v>
      </c>
      <c r="E310" s="8">
        <v>15.736279202694808</v>
      </c>
      <c r="F310" s="8">
        <f t="shared" si="62"/>
        <v>16.969729667814423</v>
      </c>
      <c r="G310" s="9">
        <f t="shared" si="56"/>
        <v>7.8382599166668898E-2</v>
      </c>
      <c r="H310" s="9">
        <f t="shared" si="57"/>
        <v>2.4330547589977782</v>
      </c>
      <c r="I310" s="9">
        <f t="shared" si="58"/>
        <v>1.0980109204239183</v>
      </c>
      <c r="K310" s="8">
        <f t="shared" si="59"/>
        <v>6826203.3785530645</v>
      </c>
      <c r="L310" s="8">
        <f t="shared" si="60"/>
        <v>14321449.233238975</v>
      </c>
    </row>
    <row r="311" spans="2:12">
      <c r="B311" s="8">
        <v>75</v>
      </c>
      <c r="C311" s="8">
        <v>1862</v>
      </c>
      <c r="D311" s="8">
        <f t="shared" si="61"/>
        <v>16.43515016781453</v>
      </c>
      <c r="E311" s="8">
        <v>15.602258393568988</v>
      </c>
      <c r="F311" s="8">
        <f t="shared" si="62"/>
        <v>16.949729667814424</v>
      </c>
      <c r="G311" s="9">
        <f t="shared" si="56"/>
        <v>8.6363860939570311E-2</v>
      </c>
      <c r="H311" s="9">
        <f t="shared" si="57"/>
        <v>2.8476834820870547</v>
      </c>
      <c r="I311" s="9">
        <f t="shared" si="58"/>
        <v>1.2999600983601298</v>
      </c>
      <c r="K311" s="8">
        <f t="shared" si="59"/>
        <v>5970005.4219576754</v>
      </c>
      <c r="L311" s="8">
        <f t="shared" si="60"/>
        <v>13730774.257496282</v>
      </c>
    </row>
    <row r="312" spans="2:12">
      <c r="B312" s="8">
        <v>76</v>
      </c>
      <c r="C312" s="8">
        <v>1863</v>
      </c>
      <c r="D312" s="8">
        <f t="shared" si="61"/>
        <v>16.392410807814532</v>
      </c>
      <c r="E312" s="8">
        <v>15.458347555404229</v>
      </c>
      <c r="F312" s="8">
        <f t="shared" si="62"/>
        <v>16.929729667814424</v>
      </c>
      <c r="G312" s="9">
        <f t="shared" si="56"/>
        <v>9.5183660940253656E-2</v>
      </c>
      <c r="H312" s="9">
        <f t="shared" si="57"/>
        <v>3.3552504288704741</v>
      </c>
      <c r="I312" s="9">
        <f t="shared" si="58"/>
        <v>1.5448284789080122</v>
      </c>
      <c r="K312" s="8">
        <f t="shared" si="59"/>
        <v>5169815.480407293</v>
      </c>
      <c r="L312" s="8">
        <f t="shared" si="60"/>
        <v>13156293.665239984</v>
      </c>
    </row>
    <row r="313" spans="2:12">
      <c r="B313" s="8">
        <v>77</v>
      </c>
      <c r="C313" s="8">
        <v>1864</v>
      </c>
      <c r="D313" s="8">
        <f t="shared" si="61"/>
        <v>16.349042617814533</v>
      </c>
      <c r="E313" s="8">
        <v>15.304402456378607</v>
      </c>
      <c r="F313" s="8">
        <f t="shared" si="62"/>
        <v>16.909729667814425</v>
      </c>
      <c r="G313" s="9">
        <f t="shared" si="56"/>
        <v>0.1048931649576913</v>
      </c>
      <c r="H313" s="9">
        <f t="shared" si="57"/>
        <v>3.9794886818397153</v>
      </c>
      <c r="I313" s="9">
        <f t="shared" si="58"/>
        <v>1.8423755432748594</v>
      </c>
      <c r="K313" s="8">
        <f t="shared" si="59"/>
        <v>4432181.4895480415</v>
      </c>
      <c r="L313" s="8">
        <f t="shared" si="60"/>
        <v>12597924.269246889</v>
      </c>
    </row>
    <row r="314" spans="2:12">
      <c r="B314" s="8">
        <v>78</v>
      </c>
      <c r="C314" s="8">
        <v>1865</v>
      </c>
      <c r="D314" s="8">
        <f t="shared" si="61"/>
        <v>16.305037377814536</v>
      </c>
      <c r="E314" s="8">
        <v>15.139037851962525</v>
      </c>
      <c r="F314" s="8">
        <f t="shared" si="62"/>
        <v>16.889729667814425</v>
      </c>
      <c r="G314" s="9">
        <f t="shared" si="56"/>
        <v>0.11564089032414641</v>
      </c>
      <c r="H314" s="9">
        <f t="shared" si="57"/>
        <v>4.7585851787788105</v>
      </c>
      <c r="I314" s="9">
        <f t="shared" si="58"/>
        <v>2.2091288879795412</v>
      </c>
      <c r="K314" s="8">
        <f t="shared" si="59"/>
        <v>3756648.8398780976</v>
      </c>
      <c r="L314" s="8">
        <f t="shared" si="60"/>
        <v>12055570.314047633</v>
      </c>
    </row>
    <row r="315" spans="2:12">
      <c r="B315" s="8">
        <v>79</v>
      </c>
      <c r="C315" s="8">
        <v>1866</v>
      </c>
      <c r="D315" s="8">
        <f t="shared" si="61"/>
        <v>16.260386867814539</v>
      </c>
      <c r="E315" s="8">
        <v>14.961848832567103</v>
      </c>
      <c r="F315" s="8">
        <f t="shared" si="62"/>
        <v>16.869729667814426</v>
      </c>
      <c r="G315" s="9">
        <f t="shared" si="56"/>
        <v>0.12751638227319095</v>
      </c>
      <c r="H315" s="9">
        <f t="shared" si="57"/>
        <v>5.738793043657676</v>
      </c>
      <c r="I315" s="9">
        <f t="shared" si="58"/>
        <v>2.6639362045832531</v>
      </c>
      <c r="K315" s="8">
        <f t="shared" si="59"/>
        <v>3146649.6215767381</v>
      </c>
      <c r="L315" s="8">
        <f t="shared" si="60"/>
        <v>11529123.471633203</v>
      </c>
    </row>
    <row r="316" spans="2:12">
      <c r="B316" s="8">
        <v>80</v>
      </c>
      <c r="C316" s="8">
        <v>1867</v>
      </c>
      <c r="D316" s="8">
        <f t="shared" si="61"/>
        <v>16.215082867814541</v>
      </c>
      <c r="E316" s="8">
        <v>14.771914124622015</v>
      </c>
      <c r="F316" s="8">
        <f t="shared" si="62"/>
        <v>16.849729667814426</v>
      </c>
      <c r="G316" s="9">
        <f t="shared" si="56"/>
        <v>0.14065987154156831</v>
      </c>
      <c r="H316" s="9">
        <f t="shared" si="57"/>
        <v>6.9870025818553492</v>
      </c>
      <c r="I316" s="9">
        <f t="shared" si="58"/>
        <v>3.2340913303967129</v>
      </c>
      <c r="K316" s="8">
        <f t="shared" si="59"/>
        <v>2602320.5511918403</v>
      </c>
      <c r="L316" s="8">
        <f t="shared" si="60"/>
        <v>11018462.884714568</v>
      </c>
    </row>
    <row r="317" spans="2:12">
      <c r="B317" s="8">
        <v>81</v>
      </c>
      <c r="C317" s="8">
        <v>1868</v>
      </c>
      <c r="D317" s="8">
        <f t="shared" si="61"/>
        <v>16.169117157814544</v>
      </c>
      <c r="E317" s="8">
        <v>14.567628076265839</v>
      </c>
      <c r="F317" s="8">
        <f t="shared" si="62"/>
        <v>16.829729667814426</v>
      </c>
      <c r="G317" s="9">
        <f t="shared" si="56"/>
        <v>0.15528276667318913</v>
      </c>
      <c r="H317" s="9">
        <f t="shared" si="57"/>
        <v>8.6032500835524051</v>
      </c>
      <c r="I317" s="9">
        <f t="shared" si="58"/>
        <v>3.9604133876526602</v>
      </c>
      <c r="K317" s="8">
        <f t="shared" si="59"/>
        <v>2121487.5524350828</v>
      </c>
      <c r="L317" s="8">
        <f t="shared" si="60"/>
        <v>10523455.256837457</v>
      </c>
    </row>
    <row r="318" spans="2:12">
      <c r="B318" s="8">
        <v>82</v>
      </c>
      <c r="C318" s="8">
        <v>1869</v>
      </c>
      <c r="D318" s="8">
        <f t="shared" si="61"/>
        <v>16.122481517814546</v>
      </c>
      <c r="E318" s="8">
        <v>14.34890094361122</v>
      </c>
      <c r="F318" s="8">
        <f t="shared" si="62"/>
        <v>16.809729667814427</v>
      </c>
    </row>
    <row r="319" spans="2:12">
      <c r="B319" s="8">
        <v>83</v>
      </c>
      <c r="C319" s="8">
        <v>1870</v>
      </c>
      <c r="D319" s="8">
        <f t="shared" si="61"/>
        <v>16.075167727814549</v>
      </c>
      <c r="E319" s="8">
        <v>14.113827429546298</v>
      </c>
      <c r="F319" s="8">
        <f t="shared" si="62"/>
        <v>16.789729667814427</v>
      </c>
    </row>
    <row r="320" spans="2:12">
      <c r="B320" s="8">
        <v>84</v>
      </c>
      <c r="C320" s="8">
        <v>1871</v>
      </c>
      <c r="D320" s="8">
        <f t="shared" si="61"/>
        <v>16.027167567814551</v>
      </c>
      <c r="E320" s="8">
        <v>13.861429892832966</v>
      </c>
      <c r="F320" s="8">
        <f t="shared" si="62"/>
        <v>16.769729667814428</v>
      </c>
    </row>
    <row r="321" spans="2:6">
      <c r="B321" s="8">
        <v>85</v>
      </c>
      <c r="C321" s="8">
        <v>1872</v>
      </c>
      <c r="D321" s="8">
        <f t="shared" si="61"/>
        <v>15.978472817814552</v>
      </c>
      <c r="E321" s="8">
        <v>13.590355657527907</v>
      </c>
      <c r="F321" s="8">
        <f t="shared" si="62"/>
        <v>16.749729667814428</v>
      </c>
    </row>
    <row r="322" spans="2:6">
      <c r="B322" s="8">
        <v>86</v>
      </c>
      <c r="C322" s="8">
        <v>1873</v>
      </c>
      <c r="D322" s="8">
        <f t="shared" si="61"/>
        <v>15.929075257814551</v>
      </c>
      <c r="E322" s="8">
        <v>13.294418186019792</v>
      </c>
      <c r="F322" s="8">
        <f t="shared" si="62"/>
        <v>16.729729667814428</v>
      </c>
    </row>
    <row r="323" spans="2:6">
      <c r="B323" s="8">
        <v>87</v>
      </c>
      <c r="C323" s="8">
        <v>1874</v>
      </c>
      <c r="D323" s="8">
        <f t="shared" si="61"/>
        <v>15.87896666781455</v>
      </c>
      <c r="E323" s="8">
        <v>12.977151641797557</v>
      </c>
      <c r="F323" s="8">
        <f t="shared" si="62"/>
        <v>16.709729667814429</v>
      </c>
    </row>
    <row r="324" spans="2:6">
      <c r="B324" s="8">
        <v>88</v>
      </c>
      <c r="C324" s="8">
        <v>1875</v>
      </c>
      <c r="D324" s="8">
        <f t="shared" si="61"/>
        <v>15.82813882781455</v>
      </c>
      <c r="E324" s="8">
        <v>12.625101605354486</v>
      </c>
      <c r="F324" s="8">
        <f t="shared" si="62"/>
        <v>16.689729667814429</v>
      </c>
    </row>
    <row r="325" spans="2:6">
      <c r="B325" s="8">
        <v>89</v>
      </c>
      <c r="C325" s="8">
        <v>1876</v>
      </c>
      <c r="D325" s="8">
        <f t="shared" si="61"/>
        <v>15.776583517814551</v>
      </c>
      <c r="E325" s="8">
        <v>12.251055142322889</v>
      </c>
      <c r="F325" s="8">
        <f t="shared" si="62"/>
        <v>16.66972966781443</v>
      </c>
    </row>
    <row r="326" spans="2:6">
      <c r="B326" s="8">
        <v>90</v>
      </c>
      <c r="C326" s="8">
        <v>1877</v>
      </c>
      <c r="D326" s="8">
        <f t="shared" si="61"/>
        <v>15.724292517814551</v>
      </c>
      <c r="E326" s="8">
        <v>11.84866254054378</v>
      </c>
      <c r="F326" s="8">
        <f t="shared" si="62"/>
        <v>16.64972966781443</v>
      </c>
    </row>
    <row r="327" spans="2:6">
      <c r="B327" s="8">
        <v>91</v>
      </c>
      <c r="C327" s="8">
        <v>1878</v>
      </c>
      <c r="D327" s="8">
        <f t="shared" si="61"/>
        <v>15.67125760781455</v>
      </c>
      <c r="E327" s="8">
        <v>11.419786075891974</v>
      </c>
      <c r="F327" s="8">
        <f t="shared" si="62"/>
        <v>16.629729667814431</v>
      </c>
    </row>
    <row r="328" spans="2:6">
      <c r="B328" s="8">
        <v>92</v>
      </c>
      <c r="C328" s="8">
        <v>1879</v>
      </c>
      <c r="D328" s="8">
        <f t="shared" si="61"/>
        <v>15.61747056781455</v>
      </c>
      <c r="E328" s="8">
        <v>10.950905015420297</v>
      </c>
      <c r="F328" s="8">
        <f t="shared" si="62"/>
        <v>16.609729667814431</v>
      </c>
    </row>
    <row r="329" spans="2:6">
      <c r="B329" s="8">
        <v>93</v>
      </c>
      <c r="C329" s="8">
        <v>1880</v>
      </c>
      <c r="D329" s="8">
        <f t="shared" si="61"/>
        <v>15.56292317781455</v>
      </c>
      <c r="E329" s="8">
        <v>10.426199210806869</v>
      </c>
      <c r="F329" s="8">
        <f t="shared" si="62"/>
        <v>16.589729667814431</v>
      </c>
    </row>
    <row r="330" spans="2:6">
      <c r="B330" s="8">
        <v>94</v>
      </c>
      <c r="C330" s="8">
        <v>1881</v>
      </c>
      <c r="D330" s="8">
        <f t="shared" si="61"/>
        <v>15.507607217814551</v>
      </c>
      <c r="E330" s="8">
        <v>9.624107304033549</v>
      </c>
      <c r="F330" s="8">
        <f t="shared" si="62"/>
        <v>16.569729667814432</v>
      </c>
    </row>
    <row r="331" spans="2:6">
      <c r="B331" s="8">
        <v>95</v>
      </c>
      <c r="C331" s="8">
        <v>1882</v>
      </c>
      <c r="D331" s="8">
        <f t="shared" si="61"/>
        <v>15.451514467814551</v>
      </c>
      <c r="E331" s="8">
        <v>8.7827185389281421</v>
      </c>
      <c r="F331" s="8">
        <f t="shared" si="62"/>
        <v>16.549729667814432</v>
      </c>
    </row>
    <row r="332" spans="2:6">
      <c r="B332" s="8">
        <v>96</v>
      </c>
      <c r="C332" s="8">
        <v>1883</v>
      </c>
      <c r="D332" s="8">
        <f t="shared" si="61"/>
        <v>15.39463670781455</v>
      </c>
      <c r="E332" s="8">
        <v>8.136276286580193</v>
      </c>
      <c r="F332" s="8">
        <f t="shared" si="62"/>
        <v>16.529729667814433</v>
      </c>
    </row>
    <row r="333" spans="2:6">
      <c r="B333" s="8">
        <v>97</v>
      </c>
      <c r="C333" s="8">
        <v>1884</v>
      </c>
      <c r="D333" s="8">
        <f t="shared" si="61"/>
        <v>15.33696571781455</v>
      </c>
      <c r="E333" s="8">
        <v>7.040515591062249</v>
      </c>
      <c r="F333" s="8">
        <f t="shared" si="62"/>
        <v>16.509729667814433</v>
      </c>
    </row>
    <row r="334" spans="2:6">
      <c r="B334" s="8">
        <v>98</v>
      </c>
      <c r="C334" s="8">
        <v>1885</v>
      </c>
      <c r="D334" s="8">
        <f t="shared" si="61"/>
        <v>15.278493277814549</v>
      </c>
      <c r="E334" s="8">
        <v>3.1449666021932621</v>
      </c>
      <c r="F334" s="8">
        <f t="shared" si="62"/>
        <v>16.489729667814434</v>
      </c>
    </row>
    <row r="335" spans="2:6">
      <c r="B335" s="8">
        <v>99</v>
      </c>
      <c r="C335" s="8">
        <v>1886</v>
      </c>
      <c r="D335" s="8">
        <f t="shared" si="61"/>
        <v>15.219211167814549</v>
      </c>
      <c r="E335" s="8">
        <v>1.2268882288966769</v>
      </c>
      <c r="F335" s="8">
        <f t="shared" si="62"/>
        <v>16.469729667814434</v>
      </c>
    </row>
    <row r="336" spans="2:6">
      <c r="B336" s="8">
        <v>100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140"/>
  <sheetViews>
    <sheetView workbookViewId="0"/>
  </sheetViews>
  <sheetFormatPr defaultRowHeight="12.75"/>
  <cols>
    <col min="1" max="18" width="9.140625" style="8"/>
    <col min="19" max="16384" width="9.140625" style="7"/>
  </cols>
  <sheetData>
    <row r="1" spans="1:17">
      <c r="B1" s="8" t="s">
        <v>68</v>
      </c>
      <c r="C1" s="8" t="s">
        <v>116</v>
      </c>
      <c r="D1" s="8" t="s">
        <v>113</v>
      </c>
      <c r="E1" s="8" t="s">
        <v>335</v>
      </c>
      <c r="F1" s="8" t="s">
        <v>334</v>
      </c>
      <c r="H1" s="8" t="s">
        <v>182</v>
      </c>
      <c r="N1" s="8" t="s">
        <v>333</v>
      </c>
      <c r="O1" s="8" t="s">
        <v>81</v>
      </c>
      <c r="P1" s="8" t="s">
        <v>332</v>
      </c>
    </row>
    <row r="2" spans="1:17">
      <c r="G2" s="8" t="s">
        <v>331</v>
      </c>
      <c r="I2" s="8" t="s">
        <v>330</v>
      </c>
      <c r="J2" s="8" t="s">
        <v>329</v>
      </c>
      <c r="N2" s="8" t="s">
        <v>144</v>
      </c>
    </row>
    <row r="3" spans="1:17">
      <c r="K3" s="8" t="s">
        <v>328</v>
      </c>
    </row>
    <row r="4" spans="1:17">
      <c r="A4" s="8">
        <v>1774</v>
      </c>
      <c r="B4" s="11">
        <v>141.97967129513373</v>
      </c>
      <c r="C4" s="8">
        <v>376.56</v>
      </c>
      <c r="D4" s="8">
        <v>417.73</v>
      </c>
      <c r="E4" s="8">
        <v>15.576202686534501</v>
      </c>
      <c r="F4" s="8">
        <f>20</f>
        <v>20</v>
      </c>
      <c r="H4" s="8">
        <v>0</v>
      </c>
      <c r="I4" s="8">
        <f>IF(D4&gt;0,D4,F4+C4+G4)</f>
        <v>417.73</v>
      </c>
      <c r="J4" s="8">
        <f>I4-B4</f>
        <v>275.75032870486632</v>
      </c>
      <c r="N4" s="8">
        <f>C4-J4</f>
        <v>100.80967129513368</v>
      </c>
      <c r="O4" s="8">
        <v>0.75429999999999997</v>
      </c>
      <c r="P4" s="11">
        <v>26.892421807506814</v>
      </c>
    </row>
    <row r="5" spans="1:17">
      <c r="A5" s="8">
        <v>1775</v>
      </c>
      <c r="B5" s="11">
        <v>146.28664713575202</v>
      </c>
      <c r="C5" s="8">
        <v>377.29</v>
      </c>
      <c r="D5" s="8">
        <v>414.45</v>
      </c>
      <c r="E5" s="8">
        <v>19.51498441827377</v>
      </c>
      <c r="F5" s="8">
        <f>20</f>
        <v>20</v>
      </c>
      <c r="H5" s="8">
        <v>0</v>
      </c>
      <c r="I5" s="8">
        <f>IF(D5&gt;0,D5,F5+C5+G5)</f>
        <v>414.45</v>
      </c>
      <c r="J5" s="8">
        <f>I5-B5</f>
        <v>268.16335286424794</v>
      </c>
      <c r="N5" s="8">
        <f>C5-J5</f>
        <v>109.12664713575208</v>
      </c>
      <c r="O5" s="8">
        <v>0.74390000000000001</v>
      </c>
      <c r="P5" s="11">
        <v>26.990912350597608</v>
      </c>
    </row>
    <row r="6" spans="1:17">
      <c r="A6" s="8">
        <v>1776</v>
      </c>
      <c r="B6" s="11">
        <v>142.66767615349954</v>
      </c>
      <c r="C6" s="8">
        <v>378.38</v>
      </c>
      <c r="D6" s="8">
        <v>415.58</v>
      </c>
      <c r="E6" s="8">
        <v>18.418049585334458</v>
      </c>
      <c r="F6" s="8">
        <v>18.521999999999998</v>
      </c>
      <c r="G6" s="8">
        <v>21.3</v>
      </c>
      <c r="H6" s="8">
        <f t="shared" ref="H6:H18" si="0">G6+F6-E6</f>
        <v>21.403950414665545</v>
      </c>
      <c r="I6" s="8">
        <f>IF(D6&gt;0,D6,F6+C6+G6)</f>
        <v>415.58</v>
      </c>
      <c r="J6" s="8">
        <f>I6-B6</f>
        <v>272.91232384650044</v>
      </c>
      <c r="K6" s="8">
        <f>50.91+85.798</f>
        <v>136.708</v>
      </c>
      <c r="L6" s="8">
        <f t="shared" ref="L6:L13" si="1">K6-127</f>
        <v>9.7079999999999984</v>
      </c>
      <c r="M6" s="8">
        <f>J6-K6</f>
        <v>136.20432384650044</v>
      </c>
      <c r="N6" s="8">
        <f>C6-J6</f>
        <v>105.46767615349955</v>
      </c>
      <c r="O6" s="8">
        <v>0.73629999999999995</v>
      </c>
      <c r="P6" s="11">
        <v>27.089402893688405</v>
      </c>
    </row>
    <row r="7" spans="1:17">
      <c r="A7" s="8">
        <v>1777</v>
      </c>
      <c r="B7" s="11">
        <v>165.25187330026105</v>
      </c>
      <c r="C7" s="8">
        <v>382.14</v>
      </c>
      <c r="E7" s="8">
        <v>40.926480809497093</v>
      </c>
      <c r="F7" s="8">
        <v>77.97</v>
      </c>
      <c r="G7" s="8">
        <f>96-71.8</f>
        <v>24.200000000000003</v>
      </c>
      <c r="H7" s="8">
        <f t="shared" si="0"/>
        <v>61.243519190502909</v>
      </c>
      <c r="I7" s="8">
        <f>IF(D7&gt;0,D7,F7+C7+G7)</f>
        <v>484.31</v>
      </c>
      <c r="J7" s="8">
        <f>I7-B7</f>
        <v>319.05812669973898</v>
      </c>
      <c r="K7" s="8">
        <f>50.623+92.8</f>
        <v>143.423</v>
      </c>
      <c r="L7" s="8">
        <f t="shared" si="1"/>
        <v>16.423000000000002</v>
      </c>
      <c r="M7" s="8">
        <f>J7-K7</f>
        <v>175.63512669973898</v>
      </c>
      <c r="N7" s="8">
        <f>C7-J7</f>
        <v>63.081873300261009</v>
      </c>
      <c r="O7" s="8">
        <v>0.7359</v>
      </c>
      <c r="P7" s="11">
        <v>27.187893436779198</v>
      </c>
    </row>
    <row r="8" spans="1:17">
      <c r="A8" s="8">
        <v>1778</v>
      </c>
      <c r="B8" s="11">
        <v>148.14706793421459</v>
      </c>
      <c r="C8" s="8">
        <v>391.59</v>
      </c>
      <c r="D8" s="8">
        <v>537.16999999999996</v>
      </c>
      <c r="E8" s="8">
        <v>22.849190361464863</v>
      </c>
      <c r="F8" s="8">
        <v>106.81</v>
      </c>
      <c r="G8" s="8">
        <f>104-96</f>
        <v>8</v>
      </c>
      <c r="H8" s="8">
        <f t="shared" si="0"/>
        <v>91.960809638535139</v>
      </c>
      <c r="I8" s="8">
        <f>IF(D8&gt;0,D8,F8+C8+G8)</f>
        <v>537.16999999999996</v>
      </c>
      <c r="J8" s="8">
        <f>I8-B8</f>
        <v>389.02293206578537</v>
      </c>
      <c r="K8" s="8">
        <f>85+98.153</f>
        <v>183.15300000000002</v>
      </c>
      <c r="L8" s="8">
        <f t="shared" si="1"/>
        <v>56.15300000000002</v>
      </c>
      <c r="M8" s="8">
        <f>J8-K8</f>
        <v>205.86993206578535</v>
      </c>
      <c r="N8" s="8">
        <f>C8-J8</f>
        <v>2.5670679342146059</v>
      </c>
      <c r="O8" s="8">
        <v>0.73770000000000002</v>
      </c>
      <c r="P8" s="11">
        <v>27.286383979869992</v>
      </c>
    </row>
    <row r="9" spans="1:17">
      <c r="A9" s="8">
        <v>1779</v>
      </c>
      <c r="B9" s="11">
        <v>147.30124575594061</v>
      </c>
      <c r="C9" s="8">
        <f>400</f>
        <v>400</v>
      </c>
      <c r="E9" s="8">
        <v>18.320330633039731</v>
      </c>
      <c r="F9" s="8">
        <v>114.85</v>
      </c>
      <c r="G9" s="8">
        <v>8</v>
      </c>
      <c r="H9" s="8">
        <f t="shared" si="0"/>
        <v>104.52966936696026</v>
      </c>
      <c r="K9" s="8">
        <f>131.64+100.94</f>
        <v>232.57999999999998</v>
      </c>
      <c r="L9" s="8">
        <f t="shared" si="1"/>
        <v>105.57999999999998</v>
      </c>
      <c r="O9" s="8">
        <v>0.74270000000000003</v>
      </c>
      <c r="P9" s="11">
        <v>27.384874522960789</v>
      </c>
    </row>
    <row r="10" spans="1:17">
      <c r="A10" s="8">
        <v>1780</v>
      </c>
      <c r="B10" s="11">
        <v>162.82932908551513</v>
      </c>
      <c r="C10" s="8">
        <f>410</f>
        <v>410</v>
      </c>
      <c r="E10" s="8">
        <v>23.856617087990372</v>
      </c>
      <c r="F10" s="8">
        <v>76.81</v>
      </c>
      <c r="G10" s="8">
        <v>7</v>
      </c>
      <c r="H10" s="8">
        <f t="shared" si="0"/>
        <v>59.95338291200963</v>
      </c>
      <c r="K10" s="8">
        <f>143.988+108.192</f>
        <v>252.18</v>
      </c>
      <c r="L10" s="8">
        <f t="shared" si="1"/>
        <v>125.18</v>
      </c>
      <c r="O10" s="8">
        <v>0.74379999999999991</v>
      </c>
      <c r="P10" s="11">
        <v>27.483365066051583</v>
      </c>
    </row>
    <row r="11" spans="1:17">
      <c r="A11" s="8">
        <v>1781</v>
      </c>
      <c r="B11" s="11">
        <v>167.10009803280144</v>
      </c>
      <c r="C11" s="8">
        <v>420</v>
      </c>
      <c r="E11" s="8">
        <v>29.455763274479608</v>
      </c>
      <c r="F11" s="8">
        <v>194.02</v>
      </c>
      <c r="G11" s="8">
        <f>152.76-119</f>
        <v>33.759999999999991</v>
      </c>
      <c r="H11" s="8">
        <f t="shared" si="0"/>
        <v>198.32423672552039</v>
      </c>
      <c r="I11" s="8">
        <f>IF(D11&gt;0,D11,F11+C11+G11)</f>
        <v>647.78</v>
      </c>
      <c r="J11" s="8">
        <f>I11-B11</f>
        <v>480.67990196719853</v>
      </c>
      <c r="K11" s="8">
        <f>147.5+109.082</f>
        <v>256.58199999999999</v>
      </c>
      <c r="L11" s="8">
        <f t="shared" si="1"/>
        <v>129.58199999999999</v>
      </c>
      <c r="M11" s="8">
        <f>J11-K11</f>
        <v>224.09790196719854</v>
      </c>
      <c r="N11" s="8">
        <f>C11-J11</f>
        <v>-60.679901967198532</v>
      </c>
      <c r="O11" s="8">
        <v>0.74790000000000001</v>
      </c>
      <c r="P11" s="11">
        <v>27.53652646257077</v>
      </c>
    </row>
    <row r="12" spans="1:17">
      <c r="A12" s="8">
        <v>1782</v>
      </c>
      <c r="B12" s="11">
        <v>182.03916955437722</v>
      </c>
      <c r="C12" s="8">
        <v>445.22</v>
      </c>
      <c r="E12" s="8">
        <v>31.58313612659262</v>
      </c>
      <c r="F12" s="8">
        <v>161.43</v>
      </c>
      <c r="G12" s="8">
        <f>176-152.76</f>
        <v>23.240000000000009</v>
      </c>
      <c r="H12" s="8">
        <f t="shared" si="0"/>
        <v>153.0868638734074</v>
      </c>
      <c r="I12" s="8">
        <f>IF(D12&gt;0,D12,F12+C12+G12)</f>
        <v>629.8900000000001</v>
      </c>
      <c r="J12" s="8">
        <f>I12-B12</f>
        <v>447.85083044562288</v>
      </c>
      <c r="K12" s="8">
        <f>188.896+118</f>
        <v>306.89599999999996</v>
      </c>
      <c r="L12" s="8">
        <f t="shared" si="1"/>
        <v>179.89599999999996</v>
      </c>
      <c r="M12" s="8">
        <f>J12-K12</f>
        <v>140.95483044562292</v>
      </c>
      <c r="N12" s="8">
        <f>C12-J12</f>
        <v>-2.6308304456228484</v>
      </c>
      <c r="O12" s="8">
        <v>0.74909999999999999</v>
      </c>
      <c r="P12" s="11">
        <v>27.589687859089956</v>
      </c>
    </row>
    <row r="13" spans="1:17">
      <c r="A13" s="8">
        <v>1783</v>
      </c>
      <c r="B13" s="11">
        <v>201.79458297667702</v>
      </c>
      <c r="C13" s="8">
        <v>452.14</v>
      </c>
      <c r="D13" s="8">
        <v>609.16</v>
      </c>
      <c r="E13" s="8">
        <v>34.991446542131428</v>
      </c>
      <c r="F13" s="8">
        <v>114.91</v>
      </c>
      <c r="G13" s="8">
        <f>196-176</f>
        <v>20</v>
      </c>
      <c r="H13" s="8">
        <f t="shared" si="0"/>
        <v>99.918553457868569</v>
      </c>
      <c r="I13" s="8">
        <f>IF(D13&gt;0,D13,F13+C13+G13)</f>
        <v>609.16</v>
      </c>
      <c r="J13" s="8">
        <f>I13-B13</f>
        <v>407.36541702332295</v>
      </c>
      <c r="K13" s="8">
        <v>227</v>
      </c>
      <c r="L13" s="8">
        <f t="shared" si="1"/>
        <v>100</v>
      </c>
      <c r="M13" s="8">
        <f>J13-K13</f>
        <v>180.36541702332295</v>
      </c>
      <c r="N13" s="8">
        <f>C13-J13</f>
        <v>44.774582976677038</v>
      </c>
      <c r="O13" s="8">
        <v>0.74929999999999997</v>
      </c>
      <c r="P13" s="11">
        <v>27.642849255609146</v>
      </c>
    </row>
    <row r="14" spans="1:17">
      <c r="A14" s="8">
        <v>1784</v>
      </c>
      <c r="B14" s="11">
        <v>211.14612809365329</v>
      </c>
      <c r="E14" s="8">
        <v>38.562162343228664</v>
      </c>
      <c r="F14" s="8">
        <v>264.70999999999998</v>
      </c>
      <c r="G14" s="8">
        <v>20</v>
      </c>
      <c r="H14" s="8">
        <f t="shared" si="0"/>
        <v>246.14783765677132</v>
      </c>
      <c r="L14" s="8">
        <v>145</v>
      </c>
      <c r="O14" s="8">
        <v>0.76419999999999999</v>
      </c>
      <c r="P14" s="11">
        <v>27.696010652128333</v>
      </c>
    </row>
    <row r="15" spans="1:17">
      <c r="A15" s="8">
        <v>1785</v>
      </c>
      <c r="B15" s="11">
        <v>239.41691625606532</v>
      </c>
      <c r="C15" s="8">
        <v>475</v>
      </c>
      <c r="E15" s="8">
        <v>57.251638428737039</v>
      </c>
      <c r="F15" s="8">
        <v>101.17</v>
      </c>
      <c r="G15" s="8">
        <v>20</v>
      </c>
      <c r="H15" s="8">
        <f t="shared" si="0"/>
        <v>63.918361571262963</v>
      </c>
      <c r="I15" s="8">
        <v>619.41999999999996</v>
      </c>
      <c r="J15" s="8">
        <f>I15-B15</f>
        <v>380.00308374393467</v>
      </c>
      <c r="L15" s="8">
        <f>SUM(L6:L14)</f>
        <v>867.52199999999993</v>
      </c>
      <c r="N15" s="8">
        <f>C15-J15</f>
        <v>94.996916256065333</v>
      </c>
      <c r="O15" s="8">
        <v>0.77939999999999998</v>
      </c>
      <c r="P15" s="11">
        <v>27.74917204864752</v>
      </c>
      <c r="Q15" s="8">
        <f>275/375</f>
        <v>0.73333333333333328</v>
      </c>
    </row>
    <row r="16" spans="1:17">
      <c r="A16" s="8">
        <v>1786</v>
      </c>
      <c r="B16" s="11">
        <v>241.94579463678301</v>
      </c>
      <c r="C16" s="8">
        <v>475</v>
      </c>
      <c r="E16" s="8">
        <v>50.580160069039778</v>
      </c>
      <c r="F16" s="8">
        <v>148.57</v>
      </c>
      <c r="G16" s="8">
        <f>255.1-236</f>
        <v>19.099999999999994</v>
      </c>
      <c r="H16" s="8">
        <f t="shared" si="0"/>
        <v>117.08983993096021</v>
      </c>
      <c r="I16" s="8">
        <v>619.41999999999996</v>
      </c>
      <c r="J16" s="8">
        <f>I16-B16</f>
        <v>377.47420536321692</v>
      </c>
      <c r="L16" s="8">
        <f>SUM(H6:H15)</f>
        <v>1100.4871848075043</v>
      </c>
      <c r="N16" s="8">
        <f>C16-J16</f>
        <v>97.525794636783075</v>
      </c>
      <c r="O16" s="8">
        <v>0.78410000000000002</v>
      </c>
      <c r="P16" s="11">
        <v>27.80233344516671</v>
      </c>
      <c r="Q16" s="8">
        <f>475*Q15</f>
        <v>348.33333333333331</v>
      </c>
    </row>
    <row r="17" spans="1:18">
      <c r="A17" s="8">
        <v>1787</v>
      </c>
      <c r="B17" s="11">
        <v>260.89293387144767</v>
      </c>
      <c r="C17" s="8">
        <v>474.05</v>
      </c>
      <c r="D17" s="8">
        <v>599.14</v>
      </c>
      <c r="E17" s="8">
        <v>49.265116646081594</v>
      </c>
      <c r="F17" s="8">
        <f>303.79-120</f>
        <v>183.79000000000002</v>
      </c>
      <c r="H17" s="8">
        <f t="shared" si="0"/>
        <v>134.52488335391843</v>
      </c>
      <c r="I17" s="8">
        <v>640</v>
      </c>
      <c r="J17" s="8">
        <f>I17-B17</f>
        <v>379.10706612855233</v>
      </c>
      <c r="N17" s="8">
        <f>C17-J17</f>
        <v>94.942933871447678</v>
      </c>
      <c r="O17" s="8">
        <v>0.80059999999999998</v>
      </c>
      <c r="P17" s="11">
        <v>27.855494841685896</v>
      </c>
    </row>
    <row r="18" spans="1:18">
      <c r="A18" s="8">
        <v>1788</v>
      </c>
      <c r="B18" s="11">
        <v>271.53700144951767</v>
      </c>
      <c r="C18" s="8">
        <v>476.62</v>
      </c>
      <c r="D18" s="8">
        <v>629.63</v>
      </c>
      <c r="E18" s="8">
        <v>61.614897595758123</v>
      </c>
      <c r="F18" s="8">
        <f>43.22+120</f>
        <v>163.22</v>
      </c>
      <c r="H18" s="8">
        <f t="shared" si="0"/>
        <v>101.60510240424188</v>
      </c>
      <c r="I18" s="8">
        <f>IF(D18&gt;0,D18,F18+C18)</f>
        <v>629.63</v>
      </c>
      <c r="J18" s="8">
        <f>I18-B18</f>
        <v>358.09299855048232</v>
      </c>
      <c r="N18" s="8">
        <f>C18-J18</f>
        <v>118.52700144951768</v>
      </c>
      <c r="O18" s="8">
        <v>0.80149999999999999</v>
      </c>
      <c r="P18" s="11">
        <v>27.908656238205083</v>
      </c>
      <c r="Q18" s="8">
        <f>O18/O4</f>
        <v>1.0625745724512794</v>
      </c>
      <c r="R18" s="8">
        <f>P18/P4</f>
        <v>1.0377888774009412</v>
      </c>
    </row>
    <row r="19" spans="1:18">
      <c r="A19" s="8">
        <v>1789</v>
      </c>
      <c r="B19" s="11">
        <v>282.27027848184741</v>
      </c>
      <c r="C19" s="8">
        <v>475.29</v>
      </c>
      <c r="D19" s="8">
        <v>531.53</v>
      </c>
      <c r="E19" s="8">
        <v>63.224810818097296</v>
      </c>
      <c r="O19" s="8">
        <v>0.80840000000000001</v>
      </c>
      <c r="P19" s="11">
        <v>27.961817634724273</v>
      </c>
      <c r="Q19" s="8">
        <f>Q18*R18</f>
        <v>1.1027280726989983</v>
      </c>
      <c r="R19" s="8">
        <f>375*Q19</f>
        <v>413.52302726212434</v>
      </c>
    </row>
    <row r="21" spans="1:18">
      <c r="B21" s="8" t="s">
        <v>255</v>
      </c>
      <c r="E21" s="8" t="s">
        <v>58</v>
      </c>
      <c r="F21" s="8" t="s">
        <v>327</v>
      </c>
      <c r="H21" s="8" t="s">
        <v>326</v>
      </c>
      <c r="J21" s="8" t="s">
        <v>325</v>
      </c>
    </row>
    <row r="22" spans="1:18">
      <c r="C22" s="8" t="s">
        <v>243</v>
      </c>
      <c r="D22" s="8" t="s">
        <v>157</v>
      </c>
      <c r="E22" s="8" t="s">
        <v>157</v>
      </c>
      <c r="F22" s="8" t="s">
        <v>114</v>
      </c>
      <c r="G22" s="8" t="s">
        <v>111</v>
      </c>
      <c r="H22" s="8" t="s">
        <v>324</v>
      </c>
      <c r="I22" s="8" t="s">
        <v>323</v>
      </c>
      <c r="J22" s="8" t="s">
        <v>322</v>
      </c>
      <c r="K22" s="8" t="s">
        <v>321</v>
      </c>
    </row>
    <row r="24" spans="1:18">
      <c r="A24" s="8">
        <v>1774</v>
      </c>
      <c r="B24" s="11">
        <v>141.97967129513373</v>
      </c>
      <c r="C24" s="8">
        <v>382.6</v>
      </c>
      <c r="D24" s="8">
        <v>253.8</v>
      </c>
      <c r="E24" s="8">
        <f t="shared" ref="E24:E39" si="2">D24+B24</f>
        <v>395.77967129513377</v>
      </c>
      <c r="F24" s="8">
        <f t="shared" ref="F24:F39" si="3">E24-E4</f>
        <v>380.20346860859928</v>
      </c>
      <c r="G24" s="8">
        <f t="shared" ref="G24:G39" si="4">C24-F24</f>
        <v>2.3965313914007425</v>
      </c>
      <c r="H24" s="8">
        <v>0</v>
      </c>
      <c r="I24" s="8">
        <v>20</v>
      </c>
      <c r="J24" s="8">
        <f t="shared" ref="J24:J38" si="5">C24+I24</f>
        <v>402.6</v>
      </c>
      <c r="K24" s="8">
        <f t="shared" ref="K24:K38" si="6">H24+C24</f>
        <v>382.6</v>
      </c>
      <c r="L24" s="8">
        <f t="shared" ref="L24:L38" si="7">J24-E24</f>
        <v>6.820328704866256</v>
      </c>
    </row>
    <row r="25" spans="1:18">
      <c r="A25" s="8">
        <v>1775</v>
      </c>
      <c r="B25" s="11">
        <v>146.28664713575202</v>
      </c>
      <c r="C25" s="8">
        <v>380.3</v>
      </c>
      <c r="D25" s="8">
        <v>259</v>
      </c>
      <c r="E25" s="8">
        <f t="shared" si="2"/>
        <v>405.28664713575199</v>
      </c>
      <c r="F25" s="8">
        <f t="shared" si="3"/>
        <v>385.77166271747819</v>
      </c>
      <c r="G25" s="8">
        <f t="shared" si="4"/>
        <v>-5.471662717478182</v>
      </c>
      <c r="H25" s="8">
        <v>0</v>
      </c>
      <c r="I25" s="8">
        <v>20</v>
      </c>
      <c r="J25" s="8">
        <f t="shared" si="5"/>
        <v>400.3</v>
      </c>
      <c r="K25" s="8">
        <f t="shared" si="6"/>
        <v>380.3</v>
      </c>
      <c r="L25" s="8">
        <f t="shared" si="7"/>
        <v>-4.9866471357519799</v>
      </c>
    </row>
    <row r="26" spans="1:18">
      <c r="A26" s="8">
        <v>1776</v>
      </c>
      <c r="B26" s="11">
        <v>142.66767615349954</v>
      </c>
      <c r="C26" s="8">
        <v>384.4</v>
      </c>
      <c r="D26" s="8">
        <v>275.8</v>
      </c>
      <c r="E26" s="8">
        <f t="shared" si="2"/>
        <v>418.46767615349955</v>
      </c>
      <c r="F26" s="8">
        <f t="shared" si="3"/>
        <v>400.04962656816508</v>
      </c>
      <c r="G26" s="8">
        <f t="shared" si="4"/>
        <v>-15.649626568165104</v>
      </c>
      <c r="H26" s="8">
        <v>21.403950414665541</v>
      </c>
      <c r="I26" s="8">
        <v>18.521999999999998</v>
      </c>
      <c r="J26" s="8">
        <f t="shared" si="5"/>
        <v>402.92199999999997</v>
      </c>
      <c r="K26" s="8">
        <f t="shared" si="6"/>
        <v>405.80395041466551</v>
      </c>
      <c r="L26" s="8">
        <f t="shared" si="7"/>
        <v>-15.545676153499585</v>
      </c>
    </row>
    <row r="27" spans="1:18">
      <c r="A27" s="8">
        <v>1777</v>
      </c>
      <c r="B27" s="11">
        <v>165.25187330026105</v>
      </c>
      <c r="C27" s="8">
        <v>388.6</v>
      </c>
      <c r="D27" s="8">
        <v>285</v>
      </c>
      <c r="E27" s="8">
        <f t="shared" si="2"/>
        <v>450.25187330026108</v>
      </c>
      <c r="F27" s="8">
        <f t="shared" si="3"/>
        <v>409.32539249076399</v>
      </c>
      <c r="G27" s="8">
        <f t="shared" si="4"/>
        <v>-20.725392490763966</v>
      </c>
      <c r="H27" s="8">
        <v>61.243519190502909</v>
      </c>
      <c r="I27" s="8">
        <v>77.97</v>
      </c>
      <c r="J27" s="8">
        <f t="shared" si="5"/>
        <v>466.57000000000005</v>
      </c>
      <c r="K27" s="8">
        <f t="shared" si="6"/>
        <v>449.84351919050295</v>
      </c>
      <c r="L27" s="8">
        <f t="shared" si="7"/>
        <v>16.318126699738968</v>
      </c>
    </row>
    <row r="28" spans="1:18">
      <c r="A28" s="8">
        <v>1778</v>
      </c>
      <c r="B28" s="11">
        <v>148.14706793421459</v>
      </c>
      <c r="C28" s="8">
        <v>405</v>
      </c>
      <c r="D28" s="8">
        <v>330.4</v>
      </c>
      <c r="E28" s="8">
        <f t="shared" si="2"/>
        <v>478.54706793421457</v>
      </c>
      <c r="F28" s="8">
        <f t="shared" si="3"/>
        <v>455.69787757274969</v>
      </c>
      <c r="G28" s="8">
        <f t="shared" si="4"/>
        <v>-50.69787757274969</v>
      </c>
      <c r="H28" s="8">
        <v>91.960809638535139</v>
      </c>
      <c r="I28" s="8">
        <v>106.81</v>
      </c>
      <c r="J28" s="8">
        <f t="shared" si="5"/>
        <v>511.81</v>
      </c>
      <c r="K28" s="8">
        <f t="shared" si="6"/>
        <v>496.96080963853512</v>
      </c>
      <c r="L28" s="8">
        <f t="shared" si="7"/>
        <v>33.262932065785435</v>
      </c>
    </row>
    <row r="29" spans="1:18">
      <c r="A29" s="8">
        <v>1779</v>
      </c>
      <c r="B29" s="11">
        <v>147.30124575594061</v>
      </c>
      <c r="C29" s="8">
        <v>418</v>
      </c>
      <c r="D29" s="8">
        <v>384.6</v>
      </c>
      <c r="E29" s="8">
        <f t="shared" si="2"/>
        <v>531.90124575594064</v>
      </c>
      <c r="F29" s="8">
        <f t="shared" si="3"/>
        <v>513.58091512290093</v>
      </c>
      <c r="G29" s="8">
        <f t="shared" si="4"/>
        <v>-95.580915122900933</v>
      </c>
      <c r="H29" s="8">
        <v>104.52966936696026</v>
      </c>
      <c r="I29" s="8">
        <v>114.85</v>
      </c>
      <c r="J29" s="8">
        <f t="shared" si="5"/>
        <v>532.85</v>
      </c>
      <c r="K29" s="8">
        <f t="shared" si="6"/>
        <v>522.52966936696021</v>
      </c>
      <c r="L29" s="8">
        <f t="shared" si="7"/>
        <v>0.94875424405938702</v>
      </c>
    </row>
    <row r="30" spans="1:18">
      <c r="A30" s="8">
        <v>1780</v>
      </c>
      <c r="B30" s="11">
        <v>162.82932908551513</v>
      </c>
      <c r="C30" s="8">
        <v>420</v>
      </c>
      <c r="D30" s="8">
        <v>407.2</v>
      </c>
      <c r="E30" s="8">
        <f t="shared" si="2"/>
        <v>570.02932908551509</v>
      </c>
      <c r="F30" s="8">
        <f t="shared" si="3"/>
        <v>546.17271199752474</v>
      </c>
      <c r="G30" s="8">
        <f t="shared" si="4"/>
        <v>-126.17271199752474</v>
      </c>
      <c r="H30" s="8">
        <v>59.95338291200963</v>
      </c>
      <c r="I30" s="8">
        <v>76.81</v>
      </c>
      <c r="J30" s="8">
        <f t="shared" si="5"/>
        <v>496.81</v>
      </c>
      <c r="K30" s="8">
        <f t="shared" si="6"/>
        <v>479.9533829120096</v>
      </c>
      <c r="L30" s="8">
        <f t="shared" si="7"/>
        <v>-73.219329085515085</v>
      </c>
    </row>
    <row r="31" spans="1:18">
      <c r="A31" s="8">
        <v>1781</v>
      </c>
      <c r="B31" s="11">
        <v>167.10009803280144</v>
      </c>
      <c r="C31" s="8">
        <v>434.4</v>
      </c>
      <c r="D31" s="8">
        <v>411.1</v>
      </c>
      <c r="E31" s="8">
        <f t="shared" si="2"/>
        <v>578.20009803280141</v>
      </c>
      <c r="F31" s="8">
        <f t="shared" si="3"/>
        <v>548.74433475832177</v>
      </c>
      <c r="G31" s="8">
        <f t="shared" si="4"/>
        <v>-114.34433475832179</v>
      </c>
      <c r="H31" s="8">
        <v>198.32423672552039</v>
      </c>
      <c r="I31" s="8">
        <v>194.02</v>
      </c>
      <c r="J31" s="8">
        <f t="shared" si="5"/>
        <v>628.41999999999996</v>
      </c>
      <c r="K31" s="8">
        <f t="shared" si="6"/>
        <v>632.72423672552031</v>
      </c>
      <c r="L31" s="8">
        <f t="shared" si="7"/>
        <v>50.219901967198552</v>
      </c>
    </row>
    <row r="32" spans="1:18">
      <c r="A32" s="8">
        <v>1782</v>
      </c>
      <c r="B32" s="11">
        <v>182.03916955437722</v>
      </c>
      <c r="C32" s="8">
        <v>441.6</v>
      </c>
      <c r="D32" s="8">
        <v>470.7</v>
      </c>
      <c r="E32" s="8">
        <f t="shared" si="2"/>
        <v>652.73916955437721</v>
      </c>
      <c r="F32" s="8">
        <f t="shared" si="3"/>
        <v>621.15603342778456</v>
      </c>
      <c r="G32" s="8">
        <f t="shared" si="4"/>
        <v>-179.55603342778454</v>
      </c>
      <c r="H32" s="8">
        <v>153.0868638734074</v>
      </c>
      <c r="I32" s="8">
        <v>161.43</v>
      </c>
      <c r="J32" s="8">
        <f t="shared" si="5"/>
        <v>603.03</v>
      </c>
      <c r="K32" s="8">
        <f t="shared" si="6"/>
        <v>594.68686387340745</v>
      </c>
      <c r="L32" s="8">
        <f t="shared" si="7"/>
        <v>-49.70916955437724</v>
      </c>
    </row>
    <row r="33" spans="1:12">
      <c r="A33" s="8">
        <v>1783</v>
      </c>
      <c r="B33" s="11">
        <v>201.79458297667702</v>
      </c>
      <c r="C33" s="8">
        <v>459.3</v>
      </c>
      <c r="D33" s="8">
        <v>403.3</v>
      </c>
      <c r="E33" s="8">
        <f t="shared" si="2"/>
        <v>605.09458297667697</v>
      </c>
      <c r="F33" s="8">
        <f t="shared" si="3"/>
        <v>570.1031364345456</v>
      </c>
      <c r="G33" s="8">
        <f t="shared" si="4"/>
        <v>-110.80313643454559</v>
      </c>
      <c r="H33" s="8">
        <v>99.918553457868569</v>
      </c>
      <c r="I33" s="8">
        <v>114.91</v>
      </c>
      <c r="J33" s="8">
        <f t="shared" si="5"/>
        <v>574.21</v>
      </c>
      <c r="K33" s="8">
        <f t="shared" si="6"/>
        <v>559.21855345786855</v>
      </c>
      <c r="L33" s="8">
        <f t="shared" si="7"/>
        <v>-30.884582976676938</v>
      </c>
    </row>
    <row r="34" spans="1:12">
      <c r="A34" s="8">
        <v>1784</v>
      </c>
      <c r="B34" s="11">
        <v>211.14612809365329</v>
      </c>
      <c r="C34" s="8">
        <v>462.7</v>
      </c>
      <c r="D34" s="8">
        <v>463</v>
      </c>
      <c r="E34" s="8">
        <f t="shared" si="2"/>
        <v>674.14612809365326</v>
      </c>
      <c r="F34" s="8">
        <f t="shared" si="3"/>
        <v>635.58396575042457</v>
      </c>
      <c r="G34" s="8">
        <f t="shared" si="4"/>
        <v>-172.88396575042458</v>
      </c>
      <c r="H34" s="8">
        <v>246.14783765677132</v>
      </c>
      <c r="I34" s="8">
        <v>264.70999999999998</v>
      </c>
      <c r="J34" s="8">
        <f t="shared" si="5"/>
        <v>727.41</v>
      </c>
      <c r="K34" s="8">
        <f t="shared" si="6"/>
        <v>708.84783765677128</v>
      </c>
      <c r="L34" s="8">
        <f t="shared" si="7"/>
        <v>53.263871906346708</v>
      </c>
    </row>
    <row r="35" spans="1:12">
      <c r="A35" s="8">
        <v>1785</v>
      </c>
      <c r="B35" s="11">
        <v>239.41691625606532</v>
      </c>
      <c r="C35" s="8">
        <v>466.8</v>
      </c>
      <c r="D35" s="8">
        <v>321</v>
      </c>
      <c r="E35" s="8">
        <f t="shared" si="2"/>
        <v>560.41691625606529</v>
      </c>
      <c r="F35" s="8">
        <f t="shared" si="3"/>
        <v>503.16527782732828</v>
      </c>
      <c r="G35" s="8">
        <f t="shared" si="4"/>
        <v>-36.365277827328271</v>
      </c>
      <c r="H35" s="8">
        <v>63.918361571262963</v>
      </c>
      <c r="I35" s="8">
        <v>101.17</v>
      </c>
      <c r="J35" s="8">
        <f t="shared" si="5"/>
        <v>567.97</v>
      </c>
      <c r="K35" s="8">
        <f t="shared" si="6"/>
        <v>530.71836157126302</v>
      </c>
      <c r="L35" s="8">
        <f t="shared" si="7"/>
        <v>7.5530837439347351</v>
      </c>
    </row>
    <row r="36" spans="1:12">
      <c r="A36" s="8">
        <v>1786</v>
      </c>
      <c r="B36" s="11">
        <v>241.94579463678301</v>
      </c>
      <c r="C36" s="8">
        <v>468.5</v>
      </c>
      <c r="D36" s="8">
        <v>321.5</v>
      </c>
      <c r="E36" s="8">
        <f t="shared" si="2"/>
        <v>563.44579463678303</v>
      </c>
      <c r="F36" s="8">
        <f t="shared" si="3"/>
        <v>512.8656345677432</v>
      </c>
      <c r="G36" s="8">
        <f t="shared" si="4"/>
        <v>-44.3656345677432</v>
      </c>
      <c r="H36" s="8">
        <v>117.08983993096021</v>
      </c>
      <c r="I36" s="8">
        <v>148.57</v>
      </c>
      <c r="J36" s="8">
        <f t="shared" si="5"/>
        <v>617.06999999999994</v>
      </c>
      <c r="K36" s="8">
        <f t="shared" si="6"/>
        <v>585.58983993096024</v>
      </c>
      <c r="L36" s="8">
        <f t="shared" si="7"/>
        <v>53.624205363216902</v>
      </c>
    </row>
    <row r="37" spans="1:12">
      <c r="A37" s="8">
        <v>1787</v>
      </c>
      <c r="B37" s="11">
        <v>260.89293387144767</v>
      </c>
      <c r="C37" s="8">
        <v>474.7</v>
      </c>
      <c r="D37" s="8">
        <v>335.5</v>
      </c>
      <c r="E37" s="8">
        <f t="shared" si="2"/>
        <v>596.39293387144767</v>
      </c>
      <c r="F37" s="8">
        <f t="shared" si="3"/>
        <v>547.12781722536602</v>
      </c>
      <c r="G37" s="8">
        <f t="shared" si="4"/>
        <v>-72.427817225366027</v>
      </c>
      <c r="H37" s="8">
        <v>134.52488335391843</v>
      </c>
      <c r="I37" s="8">
        <v>183.79000000000002</v>
      </c>
      <c r="J37" s="8">
        <f t="shared" si="5"/>
        <v>658.49</v>
      </c>
      <c r="K37" s="8">
        <f t="shared" si="6"/>
        <v>609.22488335391836</v>
      </c>
      <c r="L37" s="8">
        <f t="shared" si="7"/>
        <v>62.097066128552342</v>
      </c>
    </row>
    <row r="38" spans="1:12">
      <c r="A38" s="8">
        <v>1788</v>
      </c>
      <c r="B38" s="11">
        <v>271.53700144951767</v>
      </c>
      <c r="C38" s="8">
        <v>480.9</v>
      </c>
      <c r="D38" s="8">
        <v>340</v>
      </c>
      <c r="E38" s="8">
        <f t="shared" si="2"/>
        <v>611.53700144951767</v>
      </c>
      <c r="F38" s="8">
        <f t="shared" si="3"/>
        <v>549.92210385375961</v>
      </c>
      <c r="G38" s="8">
        <f t="shared" si="4"/>
        <v>-69.022103853759631</v>
      </c>
      <c r="H38" s="8">
        <v>101.60510240424188</v>
      </c>
      <c r="I38" s="8">
        <v>163.22</v>
      </c>
      <c r="J38" s="8">
        <f t="shared" si="5"/>
        <v>644.12</v>
      </c>
      <c r="K38" s="8">
        <f t="shared" si="6"/>
        <v>582.50510240424182</v>
      </c>
      <c r="L38" s="8">
        <f t="shared" si="7"/>
        <v>32.58299855048233</v>
      </c>
    </row>
    <row r="39" spans="1:12">
      <c r="A39" s="8">
        <v>1789</v>
      </c>
      <c r="B39" s="11">
        <v>282.27027848184741</v>
      </c>
      <c r="C39" s="8">
        <v>483.8</v>
      </c>
      <c r="D39" s="8">
        <v>307</v>
      </c>
      <c r="E39" s="8">
        <f t="shared" si="2"/>
        <v>589.27027848184741</v>
      </c>
      <c r="F39" s="8">
        <f t="shared" si="3"/>
        <v>526.04546766375006</v>
      </c>
      <c r="G39" s="8">
        <f t="shared" si="4"/>
        <v>-42.245467663750048</v>
      </c>
    </row>
    <row r="41" spans="1:12">
      <c r="G41" s="8">
        <f>SUM(G24:G38)</f>
        <v>-1111.6699589234554</v>
      </c>
      <c r="H41" s="8">
        <f>SUM(H24:H38)</f>
        <v>1453.7070104966249</v>
      </c>
    </row>
    <row r="43" spans="1:12">
      <c r="G43" s="8" t="s">
        <v>320</v>
      </c>
      <c r="I43" s="8" t="s">
        <v>319</v>
      </c>
    </row>
    <row r="44" spans="1:12">
      <c r="B44" s="8" t="s">
        <v>318</v>
      </c>
      <c r="C44" s="8" t="s">
        <v>317</v>
      </c>
      <c r="D44" s="8" t="s">
        <v>243</v>
      </c>
      <c r="F44" s="8" t="s">
        <v>316</v>
      </c>
      <c r="H44" s="8" t="s">
        <v>37</v>
      </c>
      <c r="I44" s="9">
        <v>0.09</v>
      </c>
      <c r="J44" s="8">
        <v>0.98</v>
      </c>
    </row>
    <row r="45" spans="1:12">
      <c r="B45" s="8" t="s">
        <v>39</v>
      </c>
      <c r="C45" s="8" t="s">
        <v>315</v>
      </c>
      <c r="E45" s="8" t="s">
        <v>111</v>
      </c>
      <c r="F45" s="9">
        <v>0.06</v>
      </c>
      <c r="G45" s="8" t="s">
        <v>314</v>
      </c>
      <c r="H45" s="8" t="s">
        <v>146</v>
      </c>
      <c r="I45" s="8" t="s">
        <v>111</v>
      </c>
    </row>
    <row r="47" spans="1:12">
      <c r="A47" s="8">
        <v>1774</v>
      </c>
      <c r="B47" s="8">
        <v>144.15091185429398</v>
      </c>
      <c r="C47" s="8">
        <f t="shared" ref="C47:C61" si="8">B47+D24</f>
        <v>397.95091185429396</v>
      </c>
      <c r="D47" s="8">
        <v>382.6</v>
      </c>
      <c r="E47" s="8">
        <f>C47-D47</f>
        <v>15.35091185429394</v>
      </c>
      <c r="G47" s="8">
        <v>15.350911854293997</v>
      </c>
      <c r="I47" s="8">
        <f>C47-D47</f>
        <v>15.35091185429394</v>
      </c>
    </row>
    <row r="48" spans="1:12">
      <c r="A48" s="8">
        <v>1775</v>
      </c>
      <c r="B48" s="8">
        <v>144.35318093799151</v>
      </c>
      <c r="C48" s="8">
        <f t="shared" si="8"/>
        <v>403.35318093799151</v>
      </c>
      <c r="D48" s="8">
        <v>380.3</v>
      </c>
      <c r="E48" s="8">
        <f t="shared" ref="E48:E94" si="9">C48+F48*F$45-D48</f>
        <v>23.974235649249124</v>
      </c>
      <c r="F48" s="8">
        <f t="shared" ref="F48:F94" si="10">E47+F47</f>
        <v>15.35091185429394</v>
      </c>
      <c r="G48" s="8">
        <v>24.5882721234209</v>
      </c>
      <c r="H48" s="8">
        <v>1.5350911854293998</v>
      </c>
      <c r="I48" s="8">
        <f t="shared" ref="I48:I94" si="11">C48-D48+J48*I$44</f>
        <v>24.434763004877954</v>
      </c>
      <c r="J48" s="8">
        <f t="shared" ref="J48:J94" si="12">I47+J47*J$44</f>
        <v>15.35091185429394</v>
      </c>
    </row>
    <row r="49" spans="1:10">
      <c r="A49" s="8">
        <v>1776</v>
      </c>
      <c r="B49" s="8">
        <v>141.3940281476026</v>
      </c>
      <c r="C49" s="8">
        <f t="shared" si="8"/>
        <v>417.19402814760258</v>
      </c>
      <c r="D49" s="8">
        <v>384.4</v>
      </c>
      <c r="E49" s="8">
        <f t="shared" si="9"/>
        <v>35.153536997815195</v>
      </c>
      <c r="F49" s="8">
        <f t="shared" si="10"/>
        <v>39.325147503543064</v>
      </c>
      <c r="G49" s="8">
        <v>36.787946545374147</v>
      </c>
      <c r="H49" s="8">
        <v>3.9939183977714898</v>
      </c>
      <c r="I49" s="8">
        <f t="shared" si="11"/>
        <v>36.347107243590344</v>
      </c>
      <c r="J49" s="8">
        <f t="shared" si="12"/>
        <v>39.478656622086014</v>
      </c>
    </row>
    <row r="50" spans="1:10">
      <c r="A50" s="8">
        <v>1777</v>
      </c>
      <c r="B50" s="8">
        <v>139.17491625305027</v>
      </c>
      <c r="C50" s="8">
        <f t="shared" si="8"/>
        <v>424.17491625305024</v>
      </c>
      <c r="D50" s="8">
        <v>388.6</v>
      </c>
      <c r="E50" s="8">
        <f t="shared" si="9"/>
        <v>40.043637323131691</v>
      </c>
      <c r="F50" s="8">
        <f t="shared" si="10"/>
        <v>74.478684501358259</v>
      </c>
      <c r="G50" s="8">
        <v>43.247629305359183</v>
      </c>
      <c r="H50" s="8">
        <v>7.6727130523089047</v>
      </c>
      <c r="I50" s="8">
        <f t="shared" si="11"/>
        <v>42.328173419041335</v>
      </c>
      <c r="J50" s="8">
        <f t="shared" si="12"/>
        <v>75.036190733234633</v>
      </c>
    </row>
    <row r="51" spans="1:10">
      <c r="A51" s="8">
        <v>1778</v>
      </c>
      <c r="B51" s="8">
        <v>137.87354601437193</v>
      </c>
      <c r="C51" s="8">
        <f t="shared" si="8"/>
        <v>468.2735460143719</v>
      </c>
      <c r="D51" s="8">
        <v>405</v>
      </c>
      <c r="E51" s="8">
        <f t="shared" si="9"/>
        <v>70.144885323841322</v>
      </c>
      <c r="F51" s="8">
        <f t="shared" si="10"/>
        <v>114.52232182448995</v>
      </c>
      <c r="G51" s="8">
        <v>75.271021997216721</v>
      </c>
      <c r="H51" s="8">
        <v>11.997475982844824</v>
      </c>
      <c r="I51" s="8">
        <f t="shared" si="11"/>
        <v>73.701273644756924</v>
      </c>
      <c r="J51" s="8">
        <f t="shared" si="12"/>
        <v>115.86364033761127</v>
      </c>
    </row>
    <row r="52" spans="1:10">
      <c r="A52" s="8">
        <v>1779</v>
      </c>
      <c r="B52" s="8">
        <v>135.54216028321514</v>
      </c>
      <c r="C52" s="8">
        <f t="shared" si="8"/>
        <v>520.14216028321516</v>
      </c>
      <c r="D52" s="8">
        <v>418</v>
      </c>
      <c r="E52" s="8">
        <f t="shared" si="9"/>
        <v>113.22219271211509</v>
      </c>
      <c r="F52" s="8">
        <f t="shared" si="10"/>
        <v>184.66720714833127</v>
      </c>
      <c r="G52" s="8">
        <v>121.66673846578166</v>
      </c>
      <c r="H52" s="8">
        <v>19.524578182566497</v>
      </c>
      <c r="I52" s="8">
        <f t="shared" si="11"/>
        <v>118.9944479890206</v>
      </c>
      <c r="J52" s="8">
        <f t="shared" si="12"/>
        <v>187.24764117561597</v>
      </c>
    </row>
    <row r="53" spans="1:10">
      <c r="A53" s="8">
        <v>1780</v>
      </c>
      <c r="B53" s="8">
        <v>133.78836539020148</v>
      </c>
      <c r="C53" s="8">
        <f t="shared" si="8"/>
        <v>540.98836539020147</v>
      </c>
      <c r="D53" s="8">
        <v>420</v>
      </c>
      <c r="E53" s="8">
        <f t="shared" si="9"/>
        <v>138.86172938182824</v>
      </c>
      <c r="F53" s="8">
        <f t="shared" si="10"/>
        <v>297.88939986044636</v>
      </c>
      <c r="G53" s="8">
        <v>152.67961741934613</v>
      </c>
      <c r="H53" s="8">
        <v>31.691252029144664</v>
      </c>
      <c r="I53" s="8">
        <f t="shared" si="11"/>
        <v>148.21310766090264</v>
      </c>
      <c r="J53" s="8">
        <f t="shared" si="12"/>
        <v>302.49713634112425</v>
      </c>
    </row>
    <row r="54" spans="1:10">
      <c r="A54" s="8">
        <v>1781</v>
      </c>
      <c r="B54" s="8">
        <v>129.31898304462746</v>
      </c>
      <c r="C54" s="8">
        <f t="shared" si="8"/>
        <v>540.41898304462745</v>
      </c>
      <c r="D54" s="8">
        <v>434.4</v>
      </c>
      <c r="E54" s="8">
        <f t="shared" si="9"/>
        <v>132.22405079916393</v>
      </c>
      <c r="F54" s="8">
        <f t="shared" si="10"/>
        <v>436.7511292422746</v>
      </c>
      <c r="G54" s="8">
        <v>152.97819681570675</v>
      </c>
      <c r="H54" s="8">
        <v>46.959213771079277</v>
      </c>
      <c r="I54" s="8">
        <f t="shared" si="11"/>
        <v>146.03841015939588</v>
      </c>
      <c r="J54" s="8">
        <f t="shared" si="12"/>
        <v>444.66030127520435</v>
      </c>
    </row>
    <row r="55" spans="1:10">
      <c r="A55" s="8">
        <v>1782</v>
      </c>
      <c r="B55" s="8">
        <v>127.3361977736345</v>
      </c>
      <c r="C55" s="8">
        <f t="shared" si="8"/>
        <v>598.03619777363451</v>
      </c>
      <c r="D55" s="8">
        <v>441.6</v>
      </c>
      <c r="E55" s="8">
        <f t="shared" si="9"/>
        <v>190.57470857612077</v>
      </c>
      <c r="F55" s="8">
        <f t="shared" si="10"/>
        <v>568.97518004143853</v>
      </c>
      <c r="G55" s="8">
        <v>218.69323122628444</v>
      </c>
      <c r="H55" s="8">
        <v>62.257033452649949</v>
      </c>
      <c r="I55" s="8">
        <f t="shared" si="11"/>
        <v>208.79869326045315</v>
      </c>
      <c r="J55" s="8">
        <f t="shared" si="12"/>
        <v>581.80550540909621</v>
      </c>
    </row>
    <row r="56" spans="1:10">
      <c r="A56" s="8">
        <v>1783</v>
      </c>
      <c r="B56" s="8">
        <v>126.07016315379562</v>
      </c>
      <c r="C56" s="8">
        <f t="shared" si="8"/>
        <v>529.3701631537956</v>
      </c>
      <c r="D56" s="8">
        <v>459.3</v>
      </c>
      <c r="E56" s="8">
        <f t="shared" si="9"/>
        <v>115.64315647084919</v>
      </c>
      <c r="F56" s="8">
        <f t="shared" si="10"/>
        <v>759.5498886175593</v>
      </c>
      <c r="G56" s="8">
        <v>154.196519729074</v>
      </c>
      <c r="H56" s="8">
        <v>84.126356575278393</v>
      </c>
      <c r="I56" s="8">
        <f t="shared" si="11"/>
        <v>140.17729112431866</v>
      </c>
      <c r="J56" s="8">
        <f t="shared" si="12"/>
        <v>778.96808856136749</v>
      </c>
    </row>
    <row r="57" spans="1:10">
      <c r="A57" s="8">
        <v>1784</v>
      </c>
      <c r="B57" s="8">
        <v>122.33023422433493</v>
      </c>
      <c r="C57" s="8">
        <f t="shared" si="8"/>
        <v>585.33023422433496</v>
      </c>
      <c r="D57" s="8">
        <v>462.7</v>
      </c>
      <c r="E57" s="8">
        <f t="shared" si="9"/>
        <v>175.14181692963945</v>
      </c>
      <c r="F57" s="8">
        <f t="shared" si="10"/>
        <v>875.19304508840855</v>
      </c>
      <c r="G57" s="8">
        <v>222.17624277252077</v>
      </c>
      <c r="H57" s="8">
        <v>99.546008548185796</v>
      </c>
      <c r="I57" s="8">
        <f t="shared" si="11"/>
        <v>203.95117583663625</v>
      </c>
      <c r="J57" s="8">
        <f t="shared" si="12"/>
        <v>903.56601791445883</v>
      </c>
    </row>
    <row r="58" spans="1:10">
      <c r="A58" s="8">
        <v>1785</v>
      </c>
      <c r="B58" s="8">
        <v>118.97061265807002</v>
      </c>
      <c r="C58" s="8">
        <f t="shared" si="8"/>
        <v>439.97061265807002</v>
      </c>
      <c r="D58" s="8">
        <v>466.8</v>
      </c>
      <c r="E58" s="8">
        <f t="shared" si="9"/>
        <v>36.190704379152919</v>
      </c>
      <c r="F58" s="8">
        <f t="shared" si="10"/>
        <v>1050.3348620180479</v>
      </c>
      <c r="G58" s="8">
        <v>94.934245483507894</v>
      </c>
      <c r="H58" s="8">
        <v>121.76363282543788</v>
      </c>
      <c r="I58" s="8">
        <f t="shared" si="11"/>
        <v>71.220741263422539</v>
      </c>
      <c r="J58" s="8">
        <f t="shared" si="12"/>
        <v>1089.4458733928059</v>
      </c>
    </row>
    <row r="59" spans="1:10">
      <c r="A59" s="8">
        <v>1786</v>
      </c>
      <c r="B59" s="8">
        <v>117.21627953777106</v>
      </c>
      <c r="C59" s="8">
        <f t="shared" si="8"/>
        <v>438.71627953777107</v>
      </c>
      <c r="D59" s="8">
        <v>468.5</v>
      </c>
      <c r="E59" s="8">
        <f t="shared" si="9"/>
        <v>35.407813521603146</v>
      </c>
      <c r="F59" s="8">
        <f t="shared" si="10"/>
        <v>1086.5255663972009</v>
      </c>
      <c r="G59" s="8">
        <v>101.47333691155973</v>
      </c>
      <c r="H59" s="8">
        <v>131.25705737378865</v>
      </c>
      <c r="I59" s="8">
        <f t="shared" si="11"/>
        <v>72.715272284724563</v>
      </c>
      <c r="J59" s="8">
        <f t="shared" si="12"/>
        <v>1138.8776971883722</v>
      </c>
    </row>
    <row r="60" spans="1:10">
      <c r="A60" s="8">
        <v>1787</v>
      </c>
      <c r="B60" s="8">
        <v>115.99946426341228</v>
      </c>
      <c r="C60" s="8">
        <f t="shared" si="8"/>
        <v>451.49946426341228</v>
      </c>
      <c r="D60" s="8">
        <v>474.7</v>
      </c>
      <c r="E60" s="8">
        <f t="shared" si="9"/>
        <v>44.11546705854056</v>
      </c>
      <c r="F60" s="8">
        <f t="shared" si="10"/>
        <v>1121.9333799188041</v>
      </c>
      <c r="G60" s="8">
        <v>118.20385532835692</v>
      </c>
      <c r="H60" s="8">
        <v>141.40439106494463</v>
      </c>
      <c r="I60" s="8">
        <f t="shared" si="11"/>
        <v>83.792851661051913</v>
      </c>
      <c r="J60" s="8">
        <f t="shared" si="12"/>
        <v>1188.8154155293291</v>
      </c>
    </row>
    <row r="61" spans="1:10">
      <c r="A61" s="8">
        <v>1788</v>
      </c>
      <c r="B61" s="8">
        <v>117.24036685831295</v>
      </c>
      <c r="C61" s="8">
        <f t="shared" si="8"/>
        <v>457.24036685831294</v>
      </c>
      <c r="D61" s="8">
        <v>480.9</v>
      </c>
      <c r="E61" s="8">
        <f t="shared" si="9"/>
        <v>46.303297676953662</v>
      </c>
      <c r="F61" s="8">
        <f t="shared" si="10"/>
        <v>1166.0488469773447</v>
      </c>
      <c r="G61" s="8">
        <v>129.5651434560933</v>
      </c>
      <c r="H61" s="8">
        <v>153.22477659778033</v>
      </c>
      <c r="I61" s="8">
        <f t="shared" si="11"/>
        <v>88.735243157494452</v>
      </c>
      <c r="J61" s="8">
        <f t="shared" si="12"/>
        <v>1248.8319588797945</v>
      </c>
    </row>
    <row r="62" spans="1:10">
      <c r="A62" s="8">
        <v>1789</v>
      </c>
      <c r="B62" s="8">
        <v>115.86670070605965</v>
      </c>
      <c r="C62" s="8">
        <v>455</v>
      </c>
      <c r="D62" s="8">
        <v>483.8</v>
      </c>
      <c r="E62" s="8">
        <f t="shared" si="9"/>
        <v>43.941128679257929</v>
      </c>
      <c r="F62" s="8">
        <f t="shared" si="10"/>
        <v>1212.3521446542984</v>
      </c>
      <c r="G62" s="8">
        <v>135.84619975796025</v>
      </c>
      <c r="H62" s="8">
        <v>164.64619975796026</v>
      </c>
      <c r="I62" s="8">
        <f t="shared" si="11"/>
        <v>89.333150657372371</v>
      </c>
      <c r="J62" s="8">
        <f t="shared" si="12"/>
        <v>1312.5905628596931</v>
      </c>
    </row>
    <row r="63" spans="1:10">
      <c r="A63" s="8">
        <v>1790</v>
      </c>
      <c r="B63" s="8">
        <v>114.26725687774918</v>
      </c>
      <c r="C63" s="8">
        <f t="shared" ref="C63:C94" si="13">340+B63</f>
        <v>454.26725687774916</v>
      </c>
      <c r="D63" s="8">
        <v>484</v>
      </c>
      <c r="E63" s="8">
        <f t="shared" si="9"/>
        <v>45.644853277762536</v>
      </c>
      <c r="F63" s="8">
        <f t="shared" si="10"/>
        <v>1256.2932733335563</v>
      </c>
      <c r="G63" s="8">
        <v>146.03924939714321</v>
      </c>
      <c r="H63" s="8">
        <v>175.77199251939405</v>
      </c>
      <c r="I63" s="8">
        <f t="shared" si="11"/>
        <v>94.077728081137622</v>
      </c>
      <c r="J63" s="8">
        <f t="shared" si="12"/>
        <v>1375.6719022598718</v>
      </c>
    </row>
    <row r="64" spans="1:10">
      <c r="A64" s="8">
        <v>1791</v>
      </c>
      <c r="B64" s="8">
        <v>112.2336806024943</v>
      </c>
      <c r="C64" s="8">
        <f t="shared" si="13"/>
        <v>452.2336806024943</v>
      </c>
      <c r="D64" s="8">
        <v>484</v>
      </c>
      <c r="E64" s="8">
        <f t="shared" si="9"/>
        <v>46.349968199173418</v>
      </c>
      <c r="F64" s="8">
        <f t="shared" si="10"/>
        <v>1301.9381266113187</v>
      </c>
      <c r="G64" s="8">
        <v>155.62877438752895</v>
      </c>
      <c r="H64" s="8">
        <v>187.39509378503465</v>
      </c>
      <c r="I64" s="8">
        <f t="shared" si="11"/>
        <v>98.03493790911736</v>
      </c>
      <c r="J64" s="8">
        <f t="shared" si="12"/>
        <v>1442.2361922958119</v>
      </c>
    </row>
    <row r="65" spans="1:10">
      <c r="A65" s="8">
        <v>1792</v>
      </c>
      <c r="B65" s="8">
        <v>111.36302319030753</v>
      </c>
      <c r="C65" s="8">
        <f t="shared" si="13"/>
        <v>451.36302319030756</v>
      </c>
      <c r="D65" s="8">
        <v>484</v>
      </c>
      <c r="E65" s="8">
        <f t="shared" si="9"/>
        <v>48.260308878937053</v>
      </c>
      <c r="F65" s="8">
        <f t="shared" si="10"/>
        <v>1348.2880948104921</v>
      </c>
      <c r="G65" s="8">
        <v>166.85325319522013</v>
      </c>
      <c r="H65" s="8">
        <v>199.49023000491258</v>
      </c>
      <c r="I65" s="8">
        <f t="shared" si="11"/>
        <v>103.39139976261873</v>
      </c>
      <c r="J65" s="8">
        <f t="shared" si="12"/>
        <v>1511.4264063590131</v>
      </c>
    </row>
    <row r="66" spans="1:10">
      <c r="A66" s="8">
        <v>1793</v>
      </c>
      <c r="B66" s="8">
        <v>110.50745568816784</v>
      </c>
      <c r="C66" s="8">
        <f t="shared" si="13"/>
        <v>450.50745568816785</v>
      </c>
      <c r="D66" s="8">
        <v>484</v>
      </c>
      <c r="E66" s="8">
        <f t="shared" si="9"/>
        <v>50.300359909533654</v>
      </c>
      <c r="F66" s="8">
        <f t="shared" si="10"/>
        <v>1396.5484036894291</v>
      </c>
      <c r="G66" s="8">
        <v>176.15032728324871</v>
      </c>
      <c r="H66" s="8">
        <v>209.64287159508086</v>
      </c>
      <c r="I66" s="8">
        <f t="shared" si="11"/>
        <v>109.12049070766849</v>
      </c>
      <c r="J66" s="8">
        <f t="shared" si="12"/>
        <v>1584.5892779944515</v>
      </c>
    </row>
    <row r="67" spans="1:10">
      <c r="A67" s="8">
        <v>1794</v>
      </c>
      <c r="B67" s="8">
        <v>109.66904372423467</v>
      </c>
      <c r="C67" s="8">
        <f t="shared" si="13"/>
        <v>449.66904372423465</v>
      </c>
      <c r="D67" s="8">
        <v>484</v>
      </c>
      <c r="E67" s="8">
        <f t="shared" si="9"/>
        <v>52.479969540172419</v>
      </c>
      <c r="F67" s="8">
        <f t="shared" si="10"/>
        <v>1446.8487635989627</v>
      </c>
      <c r="G67" s="8">
        <v>181.53540963551626</v>
      </c>
      <c r="H67" s="8">
        <v>215.8663659112816</v>
      </c>
      <c r="I67" s="8">
        <f t="shared" si="11"/>
        <v>115.25066220703545</v>
      </c>
      <c r="J67" s="8">
        <f t="shared" si="12"/>
        <v>1662.0179831422311</v>
      </c>
    </row>
    <row r="68" spans="1:10">
      <c r="A68" s="8">
        <v>1795</v>
      </c>
      <c r="B68" s="8">
        <v>107.99424735541554</v>
      </c>
      <c r="C68" s="8">
        <f t="shared" si="13"/>
        <v>447.99424735541555</v>
      </c>
      <c r="D68" s="8">
        <v>484</v>
      </c>
      <c r="E68" s="8">
        <f t="shared" si="9"/>
        <v>53.953971343763669</v>
      </c>
      <c r="F68" s="8">
        <f t="shared" si="10"/>
        <v>1499.3287331391352</v>
      </c>
      <c r="G68" s="8">
        <v>183.13660011190322</v>
      </c>
      <c r="H68" s="8">
        <v>219.14235275648767</v>
      </c>
      <c r="I68" s="8">
        <f t="shared" si="11"/>
        <v>120.95679306719353</v>
      </c>
      <c r="J68" s="8">
        <f t="shared" si="12"/>
        <v>1744.0282856864219</v>
      </c>
    </row>
    <row r="69" spans="1:10">
      <c r="A69" s="8">
        <v>1796</v>
      </c>
      <c r="B69" s="8">
        <v>104.5979084182148</v>
      </c>
      <c r="C69" s="8">
        <f t="shared" si="13"/>
        <v>444.59790841821479</v>
      </c>
      <c r="D69" s="8">
        <v>484</v>
      </c>
      <c r="E69" s="8">
        <f t="shared" si="9"/>
        <v>53.794870687188677</v>
      </c>
      <c r="F69" s="8">
        <f t="shared" si="10"/>
        <v>1553.2827044828989</v>
      </c>
      <c r="G69" s="8">
        <v>182.79178369788693</v>
      </c>
      <c r="H69" s="8">
        <v>222.19387527967214</v>
      </c>
      <c r="I69" s="8">
        <f t="shared" si="11"/>
        <v>125.30731459180461</v>
      </c>
      <c r="J69" s="8">
        <f t="shared" si="12"/>
        <v>1830.104513039887</v>
      </c>
    </row>
    <row r="70" spans="1:10">
      <c r="A70" s="8">
        <v>1797</v>
      </c>
      <c r="B70" s="8">
        <v>103.97831288279336</v>
      </c>
      <c r="C70" s="8">
        <f t="shared" si="13"/>
        <v>443.97831288279338</v>
      </c>
      <c r="D70" s="8">
        <v>484</v>
      </c>
      <c r="E70" s="8">
        <f t="shared" si="9"/>
        <v>56.402967392998676</v>
      </c>
      <c r="F70" s="8">
        <f t="shared" si="10"/>
        <v>1607.0775751700876</v>
      </c>
      <c r="G70" s="8">
        <v>178.44614555238883</v>
      </c>
      <c r="H70" s="8">
        <v>218.46783266959545</v>
      </c>
      <c r="I70" s="8">
        <f t="shared" si="11"/>
        <v>132.67118924617384</v>
      </c>
      <c r="J70" s="8">
        <f t="shared" si="12"/>
        <v>1918.809737370894</v>
      </c>
    </row>
    <row r="71" spans="1:10">
      <c r="A71" s="8">
        <v>1798</v>
      </c>
      <c r="B71" s="8">
        <v>103.36647821016962</v>
      </c>
      <c r="C71" s="8">
        <f t="shared" si="13"/>
        <v>443.36647821016959</v>
      </c>
      <c r="D71" s="8">
        <v>484</v>
      </c>
      <c r="E71" s="8">
        <f t="shared" si="9"/>
        <v>59.175310763954712</v>
      </c>
      <c r="F71" s="8">
        <f t="shared" si="10"/>
        <v>1663.4805425630861</v>
      </c>
      <c r="G71" s="8">
        <v>179.73031960093181</v>
      </c>
      <c r="H71" s="8">
        <v>220.36384139076216</v>
      </c>
      <c r="I71" s="8">
        <f t="shared" si="11"/>
        <v>140.54590407843807</v>
      </c>
      <c r="J71" s="8">
        <f t="shared" si="12"/>
        <v>2013.1047318696499</v>
      </c>
    </row>
    <row r="72" spans="1:10">
      <c r="A72" s="8">
        <v>1799</v>
      </c>
      <c r="B72" s="8">
        <v>103.76972821249474</v>
      </c>
      <c r="C72" s="8">
        <f t="shared" si="13"/>
        <v>443.76972821249473</v>
      </c>
      <c r="D72" s="8">
        <v>484</v>
      </c>
      <c r="E72" s="8">
        <f t="shared" si="9"/>
        <v>63.129079412117221</v>
      </c>
      <c r="F72" s="8">
        <f t="shared" si="10"/>
        <v>1722.6558533270409</v>
      </c>
      <c r="G72" s="8">
        <v>175.95284662618508</v>
      </c>
      <c r="H72" s="8">
        <v>216.18311841369035</v>
      </c>
      <c r="I72" s="8">
        <f t="shared" si="11"/>
        <v>149.97469693045727</v>
      </c>
      <c r="J72" s="8">
        <f t="shared" si="12"/>
        <v>2113.388541310695</v>
      </c>
    </row>
    <row r="73" spans="1:10">
      <c r="A73" s="8">
        <v>1800</v>
      </c>
      <c r="B73" s="8">
        <v>103.18755541633536</v>
      </c>
      <c r="C73" s="8">
        <f t="shared" si="13"/>
        <v>443.18755541633539</v>
      </c>
      <c r="D73" s="8">
        <v>484</v>
      </c>
      <c r="E73" s="8">
        <f t="shared" si="9"/>
        <v>66.334651380684818</v>
      </c>
      <c r="F73" s="8">
        <f t="shared" si="10"/>
        <v>1785.7849327391582</v>
      </c>
      <c r="G73" s="8">
        <v>182.96454452144096</v>
      </c>
      <c r="H73" s="8">
        <v>223.77698910510557</v>
      </c>
      <c r="I73" s="8">
        <f t="shared" si="11"/>
        <v>159.08614748367984</v>
      </c>
      <c r="J73" s="8">
        <f t="shared" si="12"/>
        <v>2221.0954674149384</v>
      </c>
    </row>
    <row r="74" spans="1:10">
      <c r="A74" s="8">
        <v>1801</v>
      </c>
      <c r="B74" s="8">
        <v>102.61445842889957</v>
      </c>
      <c r="C74" s="8">
        <f t="shared" si="13"/>
        <v>442.61445842889958</v>
      </c>
      <c r="D74" s="8">
        <v>484</v>
      </c>
      <c r="E74" s="8">
        <f t="shared" si="9"/>
        <v>69.741633476090101</v>
      </c>
      <c r="F74" s="8">
        <f t="shared" si="10"/>
        <v>1852.119584119843</v>
      </c>
      <c r="I74" s="8">
        <f t="shared" si="11"/>
        <v>168.83283192842831</v>
      </c>
      <c r="J74" s="8">
        <f t="shared" si="12"/>
        <v>2335.7597055503193</v>
      </c>
    </row>
    <row r="75" spans="1:10">
      <c r="A75" s="8">
        <v>1802</v>
      </c>
      <c r="B75" s="8">
        <v>102.05766680714244</v>
      </c>
      <c r="C75" s="8">
        <f t="shared" si="13"/>
        <v>442.05766680714243</v>
      </c>
      <c r="D75" s="8">
        <v>484</v>
      </c>
      <c r="E75" s="8">
        <f t="shared" si="9"/>
        <v>73.369339862898414</v>
      </c>
      <c r="F75" s="8">
        <f t="shared" si="10"/>
        <v>1921.8612175959331</v>
      </c>
      <c r="I75" s="8">
        <f t="shared" si="11"/>
        <v>179.26662771023911</v>
      </c>
      <c r="J75" s="8">
        <f t="shared" si="12"/>
        <v>2457.8773433677411</v>
      </c>
    </row>
    <row r="76" spans="1:10">
      <c r="A76" s="8">
        <v>1803</v>
      </c>
      <c r="B76" s="8">
        <v>100.00907842968927</v>
      </c>
      <c r="C76" s="8">
        <f t="shared" si="13"/>
        <v>440.00907842968928</v>
      </c>
      <c r="D76" s="8">
        <v>484</v>
      </c>
      <c r="E76" s="8">
        <f t="shared" si="9"/>
        <v>75.72291187721919</v>
      </c>
      <c r="F76" s="8">
        <f t="shared" si="10"/>
        <v>1995.2305574588315</v>
      </c>
      <c r="I76" s="8">
        <f t="shared" si="11"/>
        <v>188.92785660864553</v>
      </c>
      <c r="J76" s="8">
        <f t="shared" si="12"/>
        <v>2587.986424210625</v>
      </c>
    </row>
    <row r="77" spans="1:10">
      <c r="A77" s="8">
        <v>1804</v>
      </c>
      <c r="B77" s="8">
        <v>99.475934371515919</v>
      </c>
      <c r="C77" s="8">
        <f t="shared" si="13"/>
        <v>439.4759343715159</v>
      </c>
      <c r="D77" s="8">
        <v>484</v>
      </c>
      <c r="E77" s="8">
        <f t="shared" si="9"/>
        <v>79.733142531678936</v>
      </c>
      <c r="F77" s="8">
        <f t="shared" si="10"/>
        <v>2070.9534693360506</v>
      </c>
      <c r="I77" s="8">
        <f t="shared" si="11"/>
        <v>200.73984408167109</v>
      </c>
      <c r="J77" s="8">
        <f t="shared" si="12"/>
        <v>2725.1545523350578</v>
      </c>
    </row>
    <row r="78" spans="1:10">
      <c r="A78" s="8">
        <v>1805</v>
      </c>
      <c r="B78" s="8">
        <v>98.952643781326728</v>
      </c>
      <c r="C78" s="8">
        <f t="shared" si="13"/>
        <v>438.95264378132674</v>
      </c>
      <c r="D78" s="8">
        <v>484</v>
      </c>
      <c r="E78" s="8">
        <f t="shared" si="9"/>
        <v>83.993840493390508</v>
      </c>
      <c r="F78" s="8">
        <f t="shared" si="10"/>
        <v>2150.6866118677294</v>
      </c>
      <c r="I78" s="8">
        <f t="shared" si="11"/>
        <v>213.37786126462919</v>
      </c>
      <c r="J78" s="8">
        <f t="shared" si="12"/>
        <v>2871.3913053700276</v>
      </c>
    </row>
    <row r="79" spans="1:10">
      <c r="A79" s="8">
        <v>1806</v>
      </c>
      <c r="B79" s="8">
        <v>98.438846261572152</v>
      </c>
      <c r="C79" s="8">
        <f t="shared" si="13"/>
        <v>438.43884626157217</v>
      </c>
      <c r="D79" s="8">
        <v>484</v>
      </c>
      <c r="E79" s="8">
        <f t="shared" si="9"/>
        <v>88.519673403239381</v>
      </c>
      <c r="F79" s="8">
        <f t="shared" si="10"/>
        <v>2234.6804523611199</v>
      </c>
      <c r="I79" s="8">
        <f t="shared" si="11"/>
        <v>226.89956690902522</v>
      </c>
      <c r="J79" s="8">
        <f t="shared" si="12"/>
        <v>3027.3413405272563</v>
      </c>
    </row>
    <row r="80" spans="1:10">
      <c r="A80" s="8">
        <v>1807</v>
      </c>
      <c r="B80" s="8">
        <v>97.939186751049064</v>
      </c>
      <c r="C80" s="8">
        <f t="shared" si="13"/>
        <v>437.93918675104908</v>
      </c>
      <c r="D80" s="8">
        <v>484</v>
      </c>
      <c r="E80" s="8">
        <f t="shared" si="9"/>
        <v>93.331194296910667</v>
      </c>
      <c r="F80" s="8">
        <f t="shared" si="10"/>
        <v>2323.2001257643592</v>
      </c>
      <c r="I80" s="8">
        <f t="shared" si="11"/>
        <v>241.37165400736535</v>
      </c>
      <c r="J80" s="8">
        <f t="shared" si="12"/>
        <v>3193.6940806257362</v>
      </c>
    </row>
    <row r="81" spans="2:10">
      <c r="B81" s="8">
        <f t="shared" ref="B81:B94" si="14">B80-0.5</f>
        <v>97.439186751049064</v>
      </c>
      <c r="C81" s="8">
        <f t="shared" si="13"/>
        <v>437.43918675104908</v>
      </c>
      <c r="D81" s="8">
        <v>484</v>
      </c>
      <c r="E81" s="8">
        <f t="shared" si="9"/>
        <v>98.431065954725227</v>
      </c>
      <c r="F81" s="8">
        <f t="shared" si="10"/>
        <v>2416.53132006127</v>
      </c>
      <c r="I81" s="8">
        <f t="shared" si="11"/>
        <v>256.84645352290187</v>
      </c>
      <c r="J81" s="8">
        <f t="shared" si="12"/>
        <v>3371.1918530205867</v>
      </c>
    </row>
    <row r="82" spans="2:10">
      <c r="B82" s="8">
        <f t="shared" si="14"/>
        <v>96.939186751049064</v>
      </c>
      <c r="C82" s="8">
        <f t="shared" si="13"/>
        <v>436.93918675104908</v>
      </c>
      <c r="D82" s="8">
        <v>484</v>
      </c>
      <c r="E82" s="8">
        <f t="shared" si="9"/>
        <v>103.83692991200883</v>
      </c>
      <c r="F82" s="8">
        <f t="shared" si="10"/>
        <v>2514.9623860159954</v>
      </c>
      <c r="I82" s="8">
        <f t="shared" si="11"/>
        <v>273.39448900452601</v>
      </c>
      <c r="J82" s="8">
        <f t="shared" si="12"/>
        <v>3560.6144694830768</v>
      </c>
    </row>
    <row r="83" spans="2:10">
      <c r="B83" s="8">
        <f t="shared" si="14"/>
        <v>96.439186751049064</v>
      </c>
      <c r="C83" s="8">
        <f t="shared" si="13"/>
        <v>436.43918675104908</v>
      </c>
      <c r="D83" s="8">
        <v>484</v>
      </c>
      <c r="E83" s="8">
        <f t="shared" si="9"/>
        <v>109.56714570672932</v>
      </c>
      <c r="F83" s="8">
        <f t="shared" si="10"/>
        <v>2618.799315928004</v>
      </c>
      <c r="I83" s="8">
        <f t="shared" si="11"/>
        <v>291.09088696986373</v>
      </c>
      <c r="J83" s="8">
        <f t="shared" si="12"/>
        <v>3762.796669097941</v>
      </c>
    </row>
    <row r="84" spans="2:10">
      <c r="B84" s="8">
        <f t="shared" si="14"/>
        <v>95.939186751049064</v>
      </c>
      <c r="C84" s="8">
        <f t="shared" si="13"/>
        <v>435.93918675104908</v>
      </c>
      <c r="D84" s="8">
        <v>484</v>
      </c>
      <c r="E84" s="8">
        <f t="shared" si="9"/>
        <v>115.64117444913313</v>
      </c>
      <c r="F84" s="8">
        <f t="shared" si="10"/>
        <v>2728.3664616347332</v>
      </c>
      <c r="I84" s="8">
        <f t="shared" si="11"/>
        <v>310.01603279277521</v>
      </c>
      <c r="J84" s="8">
        <f t="shared" si="12"/>
        <v>3978.6316226858457</v>
      </c>
    </row>
    <row r="85" spans="2:10">
      <c r="B85" s="8">
        <f t="shared" si="14"/>
        <v>95.439186751049064</v>
      </c>
      <c r="C85" s="8">
        <f t="shared" si="13"/>
        <v>435.43918675104908</v>
      </c>
      <c r="D85" s="8">
        <v>484</v>
      </c>
      <c r="E85" s="8">
        <f t="shared" si="9"/>
        <v>122.07964491608107</v>
      </c>
      <c r="F85" s="8">
        <f t="shared" si="10"/>
        <v>2844.0076360838666</v>
      </c>
      <c r="I85" s="8">
        <f t="shared" si="11"/>
        <v>330.25593882329042</v>
      </c>
      <c r="J85" s="8">
        <f t="shared" si="12"/>
        <v>4209.0750230249041</v>
      </c>
    </row>
    <row r="86" spans="2:10">
      <c r="B86" s="8">
        <f t="shared" si="14"/>
        <v>94.939186751049064</v>
      </c>
      <c r="C86" s="8">
        <f t="shared" si="13"/>
        <v>434.93918675104908</v>
      </c>
      <c r="D86" s="8">
        <v>484</v>
      </c>
      <c r="E86" s="8">
        <f t="shared" si="9"/>
        <v>128.9044236110459</v>
      </c>
      <c r="F86" s="8">
        <f t="shared" si="10"/>
        <v>2966.0872809999478</v>
      </c>
      <c r="I86" s="8">
        <f t="shared" si="11"/>
        <v>351.90263827594174</v>
      </c>
      <c r="J86" s="8">
        <f t="shared" si="12"/>
        <v>4455.1494613876966</v>
      </c>
    </row>
    <row r="87" spans="2:10">
      <c r="B87" s="8">
        <f t="shared" si="14"/>
        <v>94.439186751049064</v>
      </c>
      <c r="C87" s="8">
        <f t="shared" si="13"/>
        <v>434.43918675104908</v>
      </c>
      <c r="D87" s="8">
        <v>484</v>
      </c>
      <c r="E87" s="8">
        <f t="shared" si="9"/>
        <v>136.13868902770866</v>
      </c>
      <c r="F87" s="8">
        <f t="shared" si="10"/>
        <v>3094.9917046109936</v>
      </c>
      <c r="I87" s="8">
        <f t="shared" si="11"/>
        <v>375.05460669027872</v>
      </c>
      <c r="J87" s="8">
        <f t="shared" si="12"/>
        <v>4717.9491104358849</v>
      </c>
    </row>
    <row r="88" spans="2:10">
      <c r="B88" s="8">
        <f t="shared" si="14"/>
        <v>93.939186751049064</v>
      </c>
      <c r="C88" s="8">
        <f t="shared" si="13"/>
        <v>433.93918675104908</v>
      </c>
      <c r="D88" s="8">
        <v>484</v>
      </c>
      <c r="E88" s="8">
        <f t="shared" si="9"/>
        <v>143.80701036937126</v>
      </c>
      <c r="F88" s="8">
        <f t="shared" si="10"/>
        <v>3231.1303936387021</v>
      </c>
      <c r="I88" s="8">
        <f t="shared" si="11"/>
        <v>399.81721289361917</v>
      </c>
      <c r="J88" s="8">
        <f t="shared" si="12"/>
        <v>4998.6447349174459</v>
      </c>
    </row>
    <row r="89" spans="2:10">
      <c r="B89" s="8">
        <f t="shared" si="14"/>
        <v>93.439186751049064</v>
      </c>
      <c r="C89" s="8">
        <f t="shared" si="13"/>
        <v>433.43918675104908</v>
      </c>
      <c r="D89" s="8">
        <v>484</v>
      </c>
      <c r="E89" s="8">
        <f t="shared" si="9"/>
        <v>151.93543099153351</v>
      </c>
      <c r="F89" s="8">
        <f t="shared" si="10"/>
        <v>3374.9374040080734</v>
      </c>
      <c r="I89" s="8">
        <f t="shared" si="11"/>
        <v>426.30320153119357</v>
      </c>
      <c r="J89" s="8">
        <f t="shared" si="12"/>
        <v>5298.4890531127166</v>
      </c>
    </row>
    <row r="90" spans="2:10">
      <c r="B90" s="8">
        <f t="shared" si="14"/>
        <v>92.939186751049064</v>
      </c>
      <c r="C90" s="8">
        <f t="shared" si="13"/>
        <v>432.93918675104908</v>
      </c>
      <c r="D90" s="8">
        <v>484</v>
      </c>
      <c r="E90" s="8">
        <f t="shared" si="9"/>
        <v>160.55155685102545</v>
      </c>
      <c r="F90" s="8">
        <f t="shared" si="10"/>
        <v>3526.8728349996068</v>
      </c>
      <c r="I90" s="8">
        <f t="shared" si="11"/>
        <v>454.63320937339807</v>
      </c>
      <c r="J90" s="8">
        <f t="shared" si="12"/>
        <v>5618.8224735816557</v>
      </c>
    </row>
    <row r="91" spans="2:10">
      <c r="B91" s="8">
        <f t="shared" si="14"/>
        <v>92.439186751049064</v>
      </c>
      <c r="C91" s="8">
        <f t="shared" si="13"/>
        <v>432.43918675104908</v>
      </c>
      <c r="D91" s="8">
        <v>484</v>
      </c>
      <c r="E91" s="8">
        <f t="shared" si="9"/>
        <v>169.68465026208696</v>
      </c>
      <c r="F91" s="8">
        <f t="shared" si="10"/>
        <v>3687.4243918506322</v>
      </c>
      <c r="I91" s="8">
        <f t="shared" si="11"/>
        <v>484.93631776455686</v>
      </c>
      <c r="J91" s="8">
        <f t="shared" si="12"/>
        <v>5961.0792334834205</v>
      </c>
    </row>
    <row r="92" spans="2:10">
      <c r="B92" s="8">
        <f t="shared" si="14"/>
        <v>91.939186751049064</v>
      </c>
      <c r="C92" s="8">
        <f t="shared" si="13"/>
        <v>431.93918675104908</v>
      </c>
      <c r="D92" s="8">
        <v>484</v>
      </c>
      <c r="E92" s="8">
        <f t="shared" si="9"/>
        <v>179.36572927781219</v>
      </c>
      <c r="F92" s="8">
        <f t="shared" si="10"/>
        <v>3857.1090421127192</v>
      </c>
      <c r="I92" s="8">
        <f t="shared" si="11"/>
        <v>517.35064374309684</v>
      </c>
      <c r="J92" s="8">
        <f t="shared" si="12"/>
        <v>6326.7939665783088</v>
      </c>
    </row>
    <row r="93" spans="2:10">
      <c r="B93" s="8">
        <f t="shared" si="14"/>
        <v>91.439186751049064</v>
      </c>
      <c r="C93" s="8">
        <f t="shared" si="13"/>
        <v>431.43918675104908</v>
      </c>
      <c r="D93" s="8">
        <v>484</v>
      </c>
      <c r="E93" s="8">
        <f t="shared" si="9"/>
        <v>189.62767303448095</v>
      </c>
      <c r="F93" s="8">
        <f t="shared" si="10"/>
        <v>4036.4747713905313</v>
      </c>
      <c r="I93" s="8">
        <f t="shared" si="11"/>
        <v>552.02397254013465</v>
      </c>
      <c r="J93" s="8">
        <f t="shared" si="12"/>
        <v>6717.6087309898394</v>
      </c>
    </row>
    <row r="94" spans="2:10">
      <c r="B94" s="8">
        <f t="shared" si="14"/>
        <v>90.939186751049064</v>
      </c>
      <c r="C94" s="8">
        <f t="shared" si="13"/>
        <v>430.93918675104908</v>
      </c>
      <c r="D94" s="8">
        <v>484</v>
      </c>
      <c r="E94" s="8">
        <f t="shared" si="9"/>
        <v>200.50533341654977</v>
      </c>
      <c r="F94" s="8">
        <f t="shared" si="10"/>
        <v>4226.1024444250124</v>
      </c>
      <c r="I94" s="8">
        <f t="shared" si="11"/>
        <v>589.11443435296496</v>
      </c>
      <c r="J94" s="8">
        <f t="shared" si="12"/>
        <v>7135.2805289101771</v>
      </c>
    </row>
    <row r="95" spans="2:10">
      <c r="D95" s="8">
        <v>484</v>
      </c>
    </row>
    <row r="101" spans="4:4">
      <c r="D101" s="8">
        <v>441.6</v>
      </c>
    </row>
    <row r="102" spans="4:4">
      <c r="D102" s="8">
        <v>459.3</v>
      </c>
    </row>
    <row r="103" spans="4:4">
      <c r="D103" s="8">
        <v>462.7</v>
      </c>
    </row>
    <row r="104" spans="4:4">
      <c r="D104" s="8">
        <v>466.8</v>
      </c>
    </row>
    <row r="105" spans="4:4">
      <c r="D105" s="8">
        <v>468.5</v>
      </c>
    </row>
    <row r="106" spans="4:4">
      <c r="D106" s="8">
        <v>474.7</v>
      </c>
    </row>
    <row r="107" spans="4:4">
      <c r="D107" s="8">
        <v>480.9</v>
      </c>
    </row>
    <row r="108" spans="4:4">
      <c r="D108" s="8">
        <v>483.8</v>
      </c>
    </row>
    <row r="109" spans="4:4">
      <c r="D109" s="8">
        <v>484</v>
      </c>
    </row>
    <row r="110" spans="4:4">
      <c r="D110" s="8">
        <v>484</v>
      </c>
    </row>
    <row r="111" spans="4:4">
      <c r="D111" s="8">
        <v>484</v>
      </c>
    </row>
    <row r="112" spans="4:4">
      <c r="D112" s="8">
        <v>484</v>
      </c>
    </row>
    <row r="113" spans="4:4">
      <c r="D113" s="8">
        <v>484</v>
      </c>
    </row>
    <row r="114" spans="4:4">
      <c r="D114" s="8">
        <v>484</v>
      </c>
    </row>
    <row r="115" spans="4:4">
      <c r="D115" s="8">
        <v>484</v>
      </c>
    </row>
    <row r="116" spans="4:4">
      <c r="D116" s="8">
        <v>484</v>
      </c>
    </row>
    <row r="117" spans="4:4">
      <c r="D117" s="8">
        <v>484</v>
      </c>
    </row>
    <row r="118" spans="4:4">
      <c r="D118" s="8">
        <v>484</v>
      </c>
    </row>
    <row r="119" spans="4:4">
      <c r="D119" s="8">
        <v>484</v>
      </c>
    </row>
    <row r="120" spans="4:4">
      <c r="D120" s="8">
        <v>484</v>
      </c>
    </row>
    <row r="121" spans="4:4">
      <c r="D121" s="8">
        <v>484</v>
      </c>
    </row>
    <row r="122" spans="4:4">
      <c r="D122" s="8">
        <v>484</v>
      </c>
    </row>
    <row r="123" spans="4:4">
      <c r="D123" s="8">
        <v>484</v>
      </c>
    </row>
    <row r="124" spans="4:4">
      <c r="D124" s="8">
        <v>484</v>
      </c>
    </row>
    <row r="125" spans="4:4">
      <c r="D125" s="8">
        <v>484</v>
      </c>
    </row>
    <row r="126" spans="4:4">
      <c r="D126" s="8">
        <v>484</v>
      </c>
    </row>
    <row r="127" spans="4:4">
      <c r="D127" s="8">
        <v>484</v>
      </c>
    </row>
    <row r="128" spans="4:4">
      <c r="D128" s="8">
        <v>484</v>
      </c>
    </row>
    <row r="129" spans="4:4">
      <c r="D129" s="8">
        <v>484</v>
      </c>
    </row>
    <row r="130" spans="4:4">
      <c r="D130" s="8">
        <v>484</v>
      </c>
    </row>
    <row r="131" spans="4:4">
      <c r="D131" s="8">
        <v>484</v>
      </c>
    </row>
    <row r="132" spans="4:4">
      <c r="D132" s="8">
        <v>484</v>
      </c>
    </row>
    <row r="133" spans="4:4">
      <c r="D133" s="8">
        <v>484</v>
      </c>
    </row>
    <row r="134" spans="4:4">
      <c r="D134" s="8">
        <v>484</v>
      </c>
    </row>
    <row r="135" spans="4:4">
      <c r="D135" s="8">
        <v>484</v>
      </c>
    </row>
    <row r="136" spans="4:4">
      <c r="D136" s="8">
        <v>484</v>
      </c>
    </row>
    <row r="137" spans="4:4">
      <c r="D137" s="8">
        <v>484</v>
      </c>
    </row>
    <row r="138" spans="4:4">
      <c r="D138" s="8">
        <v>484</v>
      </c>
    </row>
    <row r="139" spans="4:4">
      <c r="D139" s="8">
        <v>484</v>
      </c>
    </row>
    <row r="140" spans="4:4">
      <c r="D140" s="8">
        <v>484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94"/>
  <sheetViews>
    <sheetView workbookViewId="0"/>
  </sheetViews>
  <sheetFormatPr defaultRowHeight="12.75"/>
  <cols>
    <col min="1" max="15" width="9.140625" style="8"/>
    <col min="16" max="16384" width="9.140625" style="7"/>
  </cols>
  <sheetData>
    <row r="1" spans="1:2">
      <c r="B1" s="8" t="s">
        <v>313</v>
      </c>
    </row>
    <row r="2" spans="1:2">
      <c r="B2" s="8" t="s">
        <v>70</v>
      </c>
    </row>
    <row r="4" spans="1:2">
      <c r="A4" s="8">
        <v>1725</v>
      </c>
      <c r="B4" s="8">
        <v>16.5</v>
      </c>
    </row>
    <row r="5" spans="1:2">
      <c r="A5" s="8">
        <v>1726</v>
      </c>
    </row>
    <row r="6" spans="1:2">
      <c r="A6" s="8">
        <v>1727</v>
      </c>
    </row>
    <row r="7" spans="1:2">
      <c r="A7" s="8">
        <v>1728</v>
      </c>
    </row>
    <row r="8" spans="1:2">
      <c r="A8" s="8">
        <v>1729</v>
      </c>
    </row>
    <row r="9" spans="1:2">
      <c r="A9" s="8">
        <v>1730</v>
      </c>
    </row>
    <row r="10" spans="1:2">
      <c r="A10" s="8">
        <v>1731</v>
      </c>
    </row>
    <row r="11" spans="1:2">
      <c r="A11" s="8">
        <v>1732</v>
      </c>
    </row>
    <row r="12" spans="1:2">
      <c r="A12" s="8">
        <v>1733</v>
      </c>
    </row>
    <row r="13" spans="1:2">
      <c r="A13" s="8">
        <v>1734</v>
      </c>
      <c r="B13" s="8">
        <v>29</v>
      </c>
    </row>
    <row r="14" spans="1:2">
      <c r="A14" s="8">
        <v>1735</v>
      </c>
    </row>
    <row r="15" spans="1:2">
      <c r="A15" s="8">
        <v>1736</v>
      </c>
    </row>
    <row r="16" spans="1:2">
      <c r="A16" s="8">
        <v>1737</v>
      </c>
    </row>
    <row r="17" spans="1:2">
      <c r="A17" s="8">
        <v>1738</v>
      </c>
    </row>
    <row r="18" spans="1:2">
      <c r="A18" s="8">
        <v>1739</v>
      </c>
      <c r="B18" s="8">
        <v>22.15</v>
      </c>
    </row>
    <row r="19" spans="1:2">
      <c r="A19" s="8">
        <v>1740</v>
      </c>
      <c r="B19" s="8">
        <v>20.399999999999999</v>
      </c>
    </row>
    <row r="20" spans="1:2">
      <c r="A20" s="8">
        <v>1741</v>
      </c>
      <c r="B20" s="8">
        <v>25.11</v>
      </c>
    </row>
    <row r="21" spans="1:2">
      <c r="A21" s="8">
        <v>1742</v>
      </c>
      <c r="B21" s="8">
        <v>26.48</v>
      </c>
    </row>
    <row r="22" spans="1:2">
      <c r="A22" s="8">
        <v>1743</v>
      </c>
    </row>
    <row r="23" spans="1:2">
      <c r="A23" s="8">
        <v>1744</v>
      </c>
    </row>
    <row r="24" spans="1:2">
      <c r="A24" s="8">
        <v>1745</v>
      </c>
    </row>
    <row r="25" spans="1:2">
      <c r="A25" s="8">
        <v>1746</v>
      </c>
    </row>
    <row r="26" spans="1:2">
      <c r="A26" s="8">
        <v>1747</v>
      </c>
    </row>
    <row r="27" spans="1:2">
      <c r="A27" s="8">
        <v>1748</v>
      </c>
    </row>
    <row r="28" spans="1:2">
      <c r="A28" s="8">
        <v>1749</v>
      </c>
    </row>
    <row r="29" spans="1:2">
      <c r="A29" s="8">
        <v>1750</v>
      </c>
    </row>
    <row r="30" spans="1:2">
      <c r="A30" s="8">
        <v>1751</v>
      </c>
    </row>
    <row r="31" spans="1:2">
      <c r="A31" s="8">
        <v>1752</v>
      </c>
    </row>
    <row r="32" spans="1:2">
      <c r="A32" s="8">
        <v>1753</v>
      </c>
      <c r="B32" s="8">
        <v>20</v>
      </c>
    </row>
    <row r="33" spans="1:2">
      <c r="A33" s="8">
        <v>1754</v>
      </c>
    </row>
    <row r="34" spans="1:2">
      <c r="A34" s="8">
        <v>1755</v>
      </c>
    </row>
    <row r="35" spans="1:2">
      <c r="A35" s="8">
        <v>1756</v>
      </c>
    </row>
    <row r="36" spans="1:2">
      <c r="A36" s="8">
        <v>1757</v>
      </c>
    </row>
    <row r="37" spans="1:2">
      <c r="A37" s="8">
        <v>1758</v>
      </c>
    </row>
    <row r="38" spans="1:2">
      <c r="A38" s="8">
        <v>1759</v>
      </c>
      <c r="B38" s="8">
        <v>26.451999999999998</v>
      </c>
    </row>
    <row r="39" spans="1:2">
      <c r="A39" s="8">
        <v>1760</v>
      </c>
    </row>
    <row r="40" spans="1:2">
      <c r="A40" s="8">
        <v>1761</v>
      </c>
    </row>
    <row r="41" spans="1:2">
      <c r="A41" s="8">
        <v>1762</v>
      </c>
    </row>
    <row r="42" spans="1:2">
      <c r="A42" s="8">
        <v>1763</v>
      </c>
    </row>
    <row r="43" spans="1:2">
      <c r="A43" s="8">
        <v>1764</v>
      </c>
      <c r="B43" s="8">
        <v>53.06</v>
      </c>
    </row>
    <row r="44" spans="1:2">
      <c r="A44" s="8">
        <v>1765</v>
      </c>
    </row>
    <row r="45" spans="1:2">
      <c r="A45" s="8">
        <v>1766</v>
      </c>
    </row>
    <row r="46" spans="1:2">
      <c r="A46" s="8">
        <v>1767</v>
      </c>
    </row>
    <row r="47" spans="1:2">
      <c r="A47" s="8">
        <v>1768</v>
      </c>
    </row>
    <row r="48" spans="1:2">
      <c r="A48" s="8">
        <v>1769</v>
      </c>
    </row>
    <row r="49" spans="1:15">
      <c r="A49" s="8">
        <v>1770</v>
      </c>
    </row>
    <row r="50" spans="1:15">
      <c r="A50" s="8">
        <v>1771</v>
      </c>
    </row>
    <row r="51" spans="1:15">
      <c r="A51" s="8">
        <v>1772</v>
      </c>
    </row>
    <row r="52" spans="1:15">
      <c r="A52" s="8">
        <v>1773</v>
      </c>
    </row>
    <row r="53" spans="1:15">
      <c r="A53" s="8">
        <v>1774</v>
      </c>
      <c r="C53" s="8" t="s">
        <v>312</v>
      </c>
    </row>
    <row r="54" spans="1:15">
      <c r="A54" s="8">
        <v>1775</v>
      </c>
      <c r="B54" s="8">
        <v>45.923000000000002</v>
      </c>
      <c r="C54" s="8">
        <f>($C$68/44.975)^(1/13)</f>
        <v>0.98195132131080787</v>
      </c>
      <c r="E54" s="8" t="s">
        <v>311</v>
      </c>
    </row>
    <row r="55" spans="1:15">
      <c r="A55" s="8">
        <v>1776</v>
      </c>
      <c r="B55" s="8">
        <v>44.975000000000001</v>
      </c>
      <c r="C55" s="8">
        <v>44.975000000000001</v>
      </c>
      <c r="E55" s="8">
        <f>(0.94/1.09)^(1/15)</f>
        <v>0.99017834395965743</v>
      </c>
      <c r="F55" s="8">
        <f>(3.632/4.068)^(1/14)</f>
        <v>0.99193498264676072</v>
      </c>
      <c r="G55" s="8">
        <f>(5.615/5.913)^(1/13)</f>
        <v>0.99603007578651748</v>
      </c>
      <c r="H55" s="8">
        <f>(0.166/0.211)^(1/13)</f>
        <v>0.98171762292432097</v>
      </c>
      <c r="I55" s="8">
        <f>(673/705)^(1/11)</f>
        <v>0.9957859520177994</v>
      </c>
      <c r="J55" s="8">
        <f>(7451/7854)^(1/11)</f>
        <v>0.99522283760364694</v>
      </c>
      <c r="K55" s="8">
        <f>(1593/1845)^0.1</f>
        <v>0.98542128902423098</v>
      </c>
      <c r="L55" s="8">
        <f>(9489/10466)^(1/9)</f>
        <v>0.98917032609985134</v>
      </c>
      <c r="N55" s="8">
        <f>(5851/6005)^(1/6)</f>
        <v>0.99567938271867207</v>
      </c>
      <c r="O55" s="8">
        <f>(1154/1200)^0.25</f>
        <v>0.99027574218348058</v>
      </c>
    </row>
    <row r="56" spans="1:15">
      <c r="A56" s="8">
        <v>1777</v>
      </c>
      <c r="B56" s="8">
        <v>45.253260675953591</v>
      </c>
      <c r="C56" s="8">
        <f t="shared" ref="C56:C67" si="0">C55*$C$54</f>
        <v>44.163260675953588</v>
      </c>
      <c r="D56" s="8">
        <f t="shared" ref="D56:D71" si="1">SUM(E56:O56)</f>
        <v>1.0900000000000001</v>
      </c>
      <c r="E56" s="8">
        <v>1.0900000000000001</v>
      </c>
    </row>
    <row r="57" spans="1:15">
      <c r="A57" s="8">
        <v>1778</v>
      </c>
      <c r="B57" s="8">
        <v>48.513466569062288</v>
      </c>
      <c r="C57" s="8">
        <f t="shared" si="0"/>
        <v>43.366172174146264</v>
      </c>
      <c r="D57" s="8">
        <f t="shared" si="1"/>
        <v>5.1472943949160266</v>
      </c>
      <c r="E57" s="8">
        <f t="shared" ref="E57:E71" si="2">E56*E$55</f>
        <v>1.0792943949160267</v>
      </c>
      <c r="F57" s="8">
        <v>4.0679999999999996</v>
      </c>
    </row>
    <row r="58" spans="1:15">
      <c r="A58" s="8">
        <v>1779</v>
      </c>
      <c r="B58" s="8">
        <v>53.811355512604827</v>
      </c>
      <c r="C58" s="8">
        <f t="shared" si="0"/>
        <v>42.583470066594913</v>
      </c>
      <c r="D58" s="8">
        <f t="shared" si="1"/>
        <v>11.227885446009916</v>
      </c>
      <c r="E58" s="8">
        <f t="shared" si="2"/>
        <v>1.0686939366028918</v>
      </c>
      <c r="F58" s="8">
        <f t="shared" ref="F58:F71" si="3">F57*F$55</f>
        <v>4.0351915094070225</v>
      </c>
      <c r="G58" s="8">
        <f>6.57*0.9</f>
        <v>5.9130000000000003</v>
      </c>
      <c r="H58" s="8">
        <v>0.21099999999999999</v>
      </c>
    </row>
    <row r="59" spans="1:15">
      <c r="A59" s="8">
        <v>1780</v>
      </c>
      <c r="B59" s="8">
        <v>52.97240816666001</v>
      </c>
      <c r="C59" s="8">
        <f t="shared" si="0"/>
        <v>41.814894697892107</v>
      </c>
      <c r="D59" s="8">
        <f t="shared" si="1"/>
        <v>11.157513468767899</v>
      </c>
      <c r="E59" s="8">
        <f t="shared" si="2"/>
        <v>1.0581975923451785</v>
      </c>
      <c r="F59" s="8">
        <f t="shared" si="3"/>
        <v>4.0026476198600109</v>
      </c>
      <c r="G59" s="8">
        <f t="shared" ref="G59:G71" si="4">G58*G$55</f>
        <v>5.8895258381256781</v>
      </c>
      <c r="H59" s="8">
        <f t="shared" ref="H59:H71" si="5">H58*H$55</f>
        <v>0.20714241843703171</v>
      </c>
    </row>
    <row r="60" spans="1:15">
      <c r="A60" s="8">
        <v>1781</v>
      </c>
      <c r="B60" s="8">
        <v>67.052161865514606</v>
      </c>
      <c r="C60" s="8">
        <f t="shared" si="0"/>
        <v>41.060191099067453</v>
      </c>
      <c r="D60" s="8">
        <f t="shared" si="1"/>
        <v>25.991970766447153</v>
      </c>
      <c r="E60" s="8">
        <f t="shared" si="2"/>
        <v>1.0478043395704455</v>
      </c>
      <c r="F60" s="8">
        <f t="shared" si="3"/>
        <v>3.9703661973469382</v>
      </c>
      <c r="G60" s="8">
        <f t="shared" si="4"/>
        <v>5.8661448668949721</v>
      </c>
      <c r="H60" s="8">
        <f t="shared" si="5"/>
        <v>0.20335536263479781</v>
      </c>
      <c r="I60" s="8">
        <v>7.05</v>
      </c>
      <c r="J60" s="8">
        <f>8.727*0.9</f>
        <v>7.8543000000000003</v>
      </c>
    </row>
    <row r="61" spans="1:15">
      <c r="A61" s="8">
        <v>1782</v>
      </c>
      <c r="B61" s="8">
        <v>84.624531148498434</v>
      </c>
      <c r="C61" s="8">
        <f t="shared" si="0"/>
        <v>40.31910890300356</v>
      </c>
      <c r="D61" s="8">
        <f t="shared" si="1"/>
        <v>44.305422245494874</v>
      </c>
      <c r="E61" s="8">
        <f t="shared" si="2"/>
        <v>1.0375131657496062</v>
      </c>
      <c r="F61" s="8">
        <f t="shared" si="3"/>
        <v>3.9383451250666206</v>
      </c>
      <c r="G61" s="8">
        <f t="shared" si="4"/>
        <v>5.8428567163480896</v>
      </c>
      <c r="H61" s="8">
        <f t="shared" si="5"/>
        <v>0.199637543214747</v>
      </c>
      <c r="I61" s="8">
        <f t="shared" ref="I61:I71" si="6">I60*I$55</f>
        <v>7.0202909617254861</v>
      </c>
      <c r="J61" s="8">
        <f t="shared" ref="J61:J71" si="7">J60*J$55</f>
        <v>7.8167787333903247</v>
      </c>
      <c r="K61" s="8">
        <v>18.45</v>
      </c>
    </row>
    <row r="62" spans="1:15">
      <c r="A62" s="8">
        <v>1783</v>
      </c>
      <c r="B62" s="8">
        <v>93.958122958557468</v>
      </c>
      <c r="C62" s="8">
        <f t="shared" si="0"/>
        <v>39.591402261378704</v>
      </c>
      <c r="D62" s="8">
        <f t="shared" si="1"/>
        <v>54.366720697178771</v>
      </c>
      <c r="E62" s="8">
        <f t="shared" si="2"/>
        <v>1.0273230682982866</v>
      </c>
      <c r="F62" s="8">
        <f t="shared" si="3"/>
        <v>3.906582303289913</v>
      </c>
      <c r="G62" s="8">
        <f t="shared" si="4"/>
        <v>5.8196610179939503</v>
      </c>
      <c r="H62" s="8">
        <f t="shared" si="5"/>
        <v>0.19598769437123281</v>
      </c>
      <c r="I62" s="8">
        <f t="shared" si="6"/>
        <v>6.9907071187637655</v>
      </c>
      <c r="J62" s="8">
        <f t="shared" si="7"/>
        <v>7.7794367119645598</v>
      </c>
      <c r="K62" s="8">
        <f t="shared" ref="K62:K71" si="8">K61*K$55</f>
        <v>18.18102278249706</v>
      </c>
      <c r="L62" s="8">
        <v>10.465999999999999</v>
      </c>
    </row>
    <row r="63" spans="1:15">
      <c r="A63" s="8">
        <v>1784</v>
      </c>
      <c r="B63" s="8">
        <v>92.730245007097949</v>
      </c>
      <c r="C63" s="8">
        <f t="shared" si="0"/>
        <v>38.876829763108525</v>
      </c>
      <c r="D63" s="8">
        <f t="shared" si="1"/>
        <v>53.853415243989417</v>
      </c>
      <c r="E63" s="8">
        <f t="shared" si="2"/>
        <v>1.0172330544791515</v>
      </c>
      <c r="F63" s="8">
        <f t="shared" si="3"/>
        <v>3.8750756492220222</v>
      </c>
      <c r="G63" s="8">
        <f t="shared" si="4"/>
        <v>5.7965574048043553</v>
      </c>
      <c r="H63" s="8">
        <f t="shared" si="5"/>
        <v>0.19240457344054498</v>
      </c>
      <c r="I63" s="8">
        <f t="shared" si="6"/>
        <v>6.9612479435357839</v>
      </c>
      <c r="J63" s="8">
        <f t="shared" si="7"/>
        <v>7.7422730794393537</v>
      </c>
      <c r="K63" s="8">
        <f t="shared" si="8"/>
        <v>17.915966906107162</v>
      </c>
      <c r="L63" s="8">
        <f t="shared" ref="L63:L71" si="9">L62*L$55</f>
        <v>10.352656632961043</v>
      </c>
    </row>
    <row r="64" spans="1:15">
      <c r="A64" s="8">
        <v>1785</v>
      </c>
      <c r="B64" s="8">
        <v>91.521167898782025</v>
      </c>
      <c r="C64" s="8">
        <f t="shared" si="0"/>
        <v>38.17515435425976</v>
      </c>
      <c r="D64" s="8">
        <f t="shared" si="1"/>
        <v>53.346013544522258</v>
      </c>
      <c r="E64" s="8">
        <f t="shared" si="2"/>
        <v>1.0072421413051902</v>
      </c>
      <c r="F64" s="8">
        <f t="shared" si="3"/>
        <v>3.8438230968659317</v>
      </c>
      <c r="G64" s="8">
        <f t="shared" si="4"/>
        <v>5.773545511208181</v>
      </c>
      <c r="H64" s="8">
        <f t="shared" si="5"/>
        <v>0.18888696047781975</v>
      </c>
      <c r="I64" s="8">
        <f t="shared" si="6"/>
        <v>6.9319129106857291</v>
      </c>
      <c r="J64" s="8">
        <f t="shared" si="7"/>
        <v>7.7052869836219591</v>
      </c>
      <c r="K64" s="8">
        <f t="shared" si="8"/>
        <v>17.654775202731582</v>
      </c>
      <c r="L64" s="8">
        <f t="shared" si="9"/>
        <v>10.240540737625864</v>
      </c>
    </row>
    <row r="65" spans="1:15">
      <c r="A65" s="8">
        <v>1786</v>
      </c>
      <c r="B65" s="8">
        <v>90.330583274714897</v>
      </c>
      <c r="C65" s="8">
        <f t="shared" si="0"/>
        <v>37.48614325940941</v>
      </c>
      <c r="D65" s="8">
        <f t="shared" si="1"/>
        <v>52.84444001530548</v>
      </c>
      <c r="E65" s="8">
        <f t="shared" si="2"/>
        <v>0.99734935544395242</v>
      </c>
      <c r="F65" s="8">
        <f t="shared" si="3"/>
        <v>3.8128225968869258</v>
      </c>
      <c r="G65" s="8">
        <f t="shared" si="4"/>
        <v>5.7506249730855927</v>
      </c>
      <c r="H65" s="8">
        <f t="shared" si="5"/>
        <v>0.18543365784168536</v>
      </c>
      <c r="I65" s="8">
        <f t="shared" si="6"/>
        <v>6.9027014970716634</v>
      </c>
      <c r="J65" s="8">
        <f t="shared" si="7"/>
        <v>7.6684775763906918</v>
      </c>
      <c r="K65" s="8">
        <f t="shared" si="8"/>
        <v>17.397391337708783</v>
      </c>
      <c r="L65" s="8">
        <f t="shared" si="9"/>
        <v>10.129639020876187</v>
      </c>
    </row>
    <row r="66" spans="1:15">
      <c r="A66" s="8">
        <v>1787</v>
      </c>
      <c r="B66" s="8">
        <v>95.433187998222564</v>
      </c>
      <c r="C66" s="8">
        <f t="shared" si="0"/>
        <v>36.809567904423304</v>
      </c>
      <c r="D66" s="8">
        <f t="shared" si="1"/>
        <v>58.623620093799261</v>
      </c>
      <c r="E66" s="8">
        <f t="shared" si="2"/>
        <v>0.98755373312272454</v>
      </c>
      <c r="F66" s="8">
        <f t="shared" si="3"/>
        <v>3.7820721164782101</v>
      </c>
      <c r="G66" s="8">
        <f t="shared" si="4"/>
        <v>5.7277954277622829</v>
      </c>
      <c r="H66" s="8">
        <f t="shared" si="5"/>
        <v>0.18204348978650123</v>
      </c>
      <c r="I66" s="8">
        <f t="shared" si="6"/>
        <v>6.8736131817561956</v>
      </c>
      <c r="J66" s="8">
        <f t="shared" si="7"/>
        <v>7.6318440136754813</v>
      </c>
      <c r="K66" s="8">
        <f t="shared" si="8"/>
        <v>17.143759797663979</v>
      </c>
      <c r="L66" s="8">
        <f t="shared" si="9"/>
        <v>10.019938333553878</v>
      </c>
      <c r="M66" s="8">
        <v>0.27</v>
      </c>
      <c r="N66" s="8">
        <v>6.0049999999999999</v>
      </c>
    </row>
    <row r="67" spans="1:15">
      <c r="A67" s="8">
        <v>1788</v>
      </c>
      <c r="B67" s="8">
        <v>94.552738758055455</v>
      </c>
      <c r="C67" s="8">
        <f t="shared" si="0"/>
        <v>36.145203840628369</v>
      </c>
      <c r="D67" s="8">
        <f t="shared" si="1"/>
        <v>58.407534917427093</v>
      </c>
      <c r="E67" s="8">
        <f t="shared" si="2"/>
        <v>0.9778543200346369</v>
      </c>
      <c r="F67" s="8">
        <f t="shared" si="3"/>
        <v>3.7515696392276108</v>
      </c>
      <c r="G67" s="8">
        <f t="shared" si="4"/>
        <v>5.7050565140037346</v>
      </c>
      <c r="H67" s="8">
        <f t="shared" si="5"/>
        <v>0.17871530206205188</v>
      </c>
      <c r="I67" s="8">
        <f t="shared" si="6"/>
        <v>6.8446474459971887</v>
      </c>
      <c r="J67" s="8">
        <f t="shared" si="7"/>
        <v>7.5953854554385183</v>
      </c>
      <c r="K67" s="8">
        <f t="shared" si="8"/>
        <v>16.893825878535829</v>
      </c>
      <c r="L67" s="8">
        <f t="shared" si="9"/>
        <v>9.9114256689018898</v>
      </c>
      <c r="M67" s="8">
        <v>0.56999999999999995</v>
      </c>
      <c r="N67" s="8">
        <f>N66*N$55</f>
        <v>5.9790546932256259</v>
      </c>
    </row>
    <row r="68" spans="1:15">
      <c r="A68" s="8">
        <v>1789</v>
      </c>
      <c r="B68" s="8">
        <v>105.71</v>
      </c>
      <c r="C68" s="8">
        <f>B68-D68</f>
        <v>35.492830670353499</v>
      </c>
      <c r="D68" s="8">
        <f t="shared" si="1"/>
        <v>70.217169329646495</v>
      </c>
      <c r="E68" s="8">
        <f t="shared" si="2"/>
        <v>0.96825017124569368</v>
      </c>
      <c r="F68" s="8">
        <f t="shared" si="3"/>
        <v>3.7213131649853546</v>
      </c>
      <c r="G68" s="8">
        <f t="shared" si="4"/>
        <v>5.682407872009505</v>
      </c>
      <c r="H68" s="8">
        <f t="shared" si="5"/>
        <v>0.17544796152055958</v>
      </c>
      <c r="I68" s="8">
        <f t="shared" si="6"/>
        <v>6.8158037732385095</v>
      </c>
      <c r="J68" s="8">
        <f t="shared" si="7"/>
        <v>7.5591010656549908</v>
      </c>
      <c r="K68" s="8">
        <f t="shared" si="8"/>
        <v>16.647535673777689</v>
      </c>
      <c r="L68" s="8">
        <f t="shared" si="9"/>
        <v>9.8040881610221202</v>
      </c>
      <c r="M68" s="8">
        <v>0.89</v>
      </c>
      <c r="N68" s="8">
        <f>N67*N$55</f>
        <v>5.9532214861920707</v>
      </c>
      <c r="O68" s="8">
        <v>12</v>
      </c>
    </row>
    <row r="69" spans="1:15">
      <c r="A69" s="8">
        <v>1790</v>
      </c>
      <c r="B69" s="8">
        <v>104.54497733176926</v>
      </c>
      <c r="C69" s="8">
        <f>C68*0.97</f>
        <v>34.428045750242894</v>
      </c>
      <c r="D69" s="8">
        <f t="shared" si="1"/>
        <v>70.095760168210617</v>
      </c>
      <c r="E69" s="8">
        <f t="shared" si="2"/>
        <v>0.95874035110271572</v>
      </c>
      <c r="F69" s="8">
        <f t="shared" si="3"/>
        <v>3.6913007097329098</v>
      </c>
      <c r="G69" s="8">
        <f t="shared" si="4"/>
        <v>5.6598491434075306</v>
      </c>
      <c r="H69" s="8">
        <f t="shared" si="5"/>
        <v>0.17224035573088148</v>
      </c>
      <c r="I69" s="8">
        <f t="shared" si="6"/>
        <v>6.7870816491008181</v>
      </c>
      <c r="J69" s="8">
        <f t="shared" si="7"/>
        <v>7.5229900122939117</v>
      </c>
      <c r="K69" s="8">
        <f t="shared" si="8"/>
        <v>16.40483606273088</v>
      </c>
      <c r="L69" s="8">
        <f t="shared" si="9"/>
        <v>9.6979130833499418</v>
      </c>
      <c r="M69" s="8">
        <v>1.39</v>
      </c>
      <c r="N69" s="8">
        <f>N68*N$55</f>
        <v>5.9274998945592561</v>
      </c>
      <c r="O69" s="8">
        <f>O68*O$55</f>
        <v>11.883308906201767</v>
      </c>
    </row>
    <row r="70" spans="1:15">
      <c r="A70" s="8">
        <v>1791</v>
      </c>
      <c r="B70" s="8">
        <v>102.255</v>
      </c>
      <c r="D70" s="8">
        <f t="shared" si="1"/>
        <v>70.191062160191734</v>
      </c>
      <c r="E70" s="8">
        <f t="shared" si="2"/>
        <v>0.94932393314218755</v>
      </c>
      <c r="F70" s="8">
        <f t="shared" si="3"/>
        <v>3.6615303054528896</v>
      </c>
      <c r="G70" s="8">
        <f t="shared" si="4"/>
        <v>5.6373799712484587</v>
      </c>
      <c r="H70" s="8">
        <f t="shared" si="5"/>
        <v>0.16909139259976042</v>
      </c>
      <c r="I70" s="8">
        <f t="shared" si="6"/>
        <v>6.7584805613723944</v>
      </c>
      <c r="J70" s="8">
        <f t="shared" si="7"/>
        <v>7.4870514672990414</v>
      </c>
      <c r="K70" s="8">
        <f t="shared" si="8"/>
        <v>16.165674699167454</v>
      </c>
      <c r="L70" s="8">
        <f t="shared" si="9"/>
        <v>9.5928878471452759</v>
      </c>
      <c r="M70" s="8">
        <v>2.1</v>
      </c>
      <c r="N70" s="8">
        <f>N69*N$55</f>
        <v>5.9018894360797542</v>
      </c>
      <c r="O70" s="8">
        <f>O69*O$55</f>
        <v>11.76775254668452</v>
      </c>
    </row>
    <row r="71" spans="1:15">
      <c r="A71" s="8">
        <v>1792</v>
      </c>
      <c r="B71" s="8">
        <v>100.617</v>
      </c>
      <c r="D71" s="8">
        <f t="shared" si="1"/>
        <v>70.282994124159174</v>
      </c>
      <c r="E71" s="8">
        <f t="shared" si="2"/>
        <v>0.93999999999999984</v>
      </c>
      <c r="F71" s="8">
        <f t="shared" si="3"/>
        <v>3.6320000000000006</v>
      </c>
      <c r="G71" s="8">
        <f t="shared" si="4"/>
        <v>5.6149999999999984</v>
      </c>
      <c r="H71" s="8">
        <f t="shared" si="5"/>
        <v>0.16599999999999993</v>
      </c>
      <c r="I71" s="8">
        <f t="shared" si="6"/>
        <v>6.7300000000000013</v>
      </c>
      <c r="J71" s="8">
        <f t="shared" si="7"/>
        <v>7.4512846065699003</v>
      </c>
      <c r="K71" s="8">
        <f t="shared" si="8"/>
        <v>15.929999999999989</v>
      </c>
      <c r="L71" s="8">
        <f t="shared" si="9"/>
        <v>9.4889999999999937</v>
      </c>
      <c r="M71" s="8">
        <v>2.8</v>
      </c>
      <c r="N71" s="8">
        <f>N70*N$55</f>
        <v>5.876389630589741</v>
      </c>
      <c r="O71" s="8">
        <f>O70*O$55</f>
        <v>11.653319886999556</v>
      </c>
    </row>
    <row r="72" spans="1:15">
      <c r="A72" s="8">
        <v>1793</v>
      </c>
    </row>
    <row r="73" spans="1:15">
      <c r="A73" s="8">
        <v>1794</v>
      </c>
    </row>
    <row r="74" spans="1:15">
      <c r="A74" s="8">
        <v>1795</v>
      </c>
    </row>
    <row r="75" spans="1:15">
      <c r="A75" s="8">
        <v>1796</v>
      </c>
    </row>
    <row r="76" spans="1:15">
      <c r="A76" s="8">
        <v>1797</v>
      </c>
      <c r="B76" s="8">
        <v>43.317999999999998</v>
      </c>
    </row>
    <row r="77" spans="1:15">
      <c r="A77" s="8">
        <v>1798</v>
      </c>
    </row>
    <row r="78" spans="1:15">
      <c r="A78" s="8">
        <v>1799</v>
      </c>
    </row>
    <row r="79" spans="1:15">
      <c r="A79" s="8">
        <v>1800</v>
      </c>
    </row>
    <row r="80" spans="1:15">
      <c r="A80" s="8">
        <v>1801</v>
      </c>
      <c r="B80" s="8">
        <v>19.902999999999999</v>
      </c>
    </row>
    <row r="81" spans="1:2">
      <c r="A81" s="8">
        <v>1802</v>
      </c>
      <c r="B81" s="8">
        <v>20.62</v>
      </c>
    </row>
    <row r="82" spans="1:2">
      <c r="A82" s="8">
        <v>1803</v>
      </c>
      <c r="B82" s="8">
        <v>19.992000000000001</v>
      </c>
    </row>
    <row r="83" spans="1:2">
      <c r="A83" s="8">
        <v>1804</v>
      </c>
      <c r="B83" s="8">
        <v>19.576000000000001</v>
      </c>
    </row>
    <row r="84" spans="1:2">
      <c r="A84" s="8">
        <v>1805</v>
      </c>
      <c r="B84" s="8">
        <v>19.288</v>
      </c>
    </row>
    <row r="85" spans="1:2">
      <c r="A85" s="8">
        <v>1806</v>
      </c>
      <c r="B85" s="8">
        <v>18.236000000000001</v>
      </c>
    </row>
    <row r="86" spans="1:2">
      <c r="A86" s="8">
        <v>1807</v>
      </c>
      <c r="B86" s="8">
        <v>17.690999999999999</v>
      </c>
    </row>
    <row r="87" spans="1:2">
      <c r="A87" s="8">
        <v>1808</v>
      </c>
      <c r="B87" s="8">
        <v>17.151</v>
      </c>
    </row>
    <row r="88" spans="1:2">
      <c r="A88" s="8">
        <v>1809</v>
      </c>
      <c r="B88" s="8">
        <v>16.619</v>
      </c>
    </row>
    <row r="89" spans="1:2">
      <c r="A89" s="8">
        <v>1810</v>
      </c>
      <c r="B89" s="8">
        <v>16.148</v>
      </c>
    </row>
    <row r="90" spans="1:2">
      <c r="A90" s="8">
        <v>1811</v>
      </c>
      <c r="B90" s="8">
        <v>15.923</v>
      </c>
    </row>
    <row r="91" spans="1:2">
      <c r="A91" s="8">
        <v>1812</v>
      </c>
      <c r="B91" s="8">
        <v>15.571</v>
      </c>
    </row>
    <row r="92" spans="1:2">
      <c r="A92" s="8">
        <v>1813</v>
      </c>
      <c r="B92" s="8">
        <v>14.961500000000001</v>
      </c>
    </row>
    <row r="93" spans="1:2">
      <c r="A93" s="8">
        <v>1814</v>
      </c>
      <c r="B93" s="8">
        <v>14.352</v>
      </c>
    </row>
    <row r="94" spans="1:2">
      <c r="A94" s="8">
        <v>1815</v>
      </c>
      <c r="B94" s="8">
        <v>13.946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2.75"/>
  <cols>
    <col min="1" max="1" width="9.140625" style="8"/>
    <col min="2" max="16384" width="9.140625" style="7"/>
  </cols>
  <sheetData>
    <row r="1" spans="1:1">
      <c r="A1" s="8">
        <v>6.7378638321809362E-2</v>
      </c>
    </row>
    <row r="2" spans="1:1">
      <c r="A2" s="8">
        <v>5.7106126277829912E-2</v>
      </c>
    </row>
    <row r="3" spans="1:1">
      <c r="A3" s="8">
        <v>5.6968192012463024E-2</v>
      </c>
    </row>
    <row r="4" spans="1:1">
      <c r="A4" s="8">
        <v>5.8754235475597986E-2</v>
      </c>
    </row>
    <row r="5" spans="1:1">
      <c r="A5" s="8">
        <v>6.1632874440879899E-2</v>
      </c>
    </row>
    <row r="6" spans="1:1">
      <c r="A6" s="8">
        <v>6.1583398688003901E-2</v>
      </c>
    </row>
    <row r="7" spans="1:1">
      <c r="A7" s="8">
        <v>5.9497303664108103E-2</v>
      </c>
    </row>
    <row r="8" spans="1:1">
      <c r="A8" s="8">
        <v>5.9828583162144539E-2</v>
      </c>
    </row>
    <row r="9" spans="1:1">
      <c r="A9" s="8">
        <v>5.9134319086901033E-2</v>
      </c>
    </row>
    <row r="10" spans="1:1">
      <c r="A10" s="8">
        <v>5.8372299819876121E-2</v>
      </c>
    </row>
    <row r="11" spans="1:1">
      <c r="A11" s="8">
        <v>5.8407661391197623E-2</v>
      </c>
    </row>
    <row r="12" spans="1:1">
      <c r="A12" s="8">
        <v>5.5639514486641929E-2</v>
      </c>
    </row>
    <row r="13" spans="1:1">
      <c r="A13" s="8">
        <v>5.5292137272434497E-2</v>
      </c>
    </row>
    <row r="14" spans="1:1">
      <c r="A14" s="8">
        <v>5.7243334194175259E-2</v>
      </c>
    </row>
    <row r="15" spans="1:1">
      <c r="A15" s="8">
        <v>6.0351980609759277E-2</v>
      </c>
    </row>
    <row r="16" spans="1:1">
      <c r="A16" s="8">
        <v>6.4829628351515664E-2</v>
      </c>
    </row>
    <row r="17" spans="1:1">
      <c r="A17" s="8">
        <v>6.3417483622465659E-2</v>
      </c>
    </row>
    <row r="18" spans="1:1">
      <c r="A18" s="8">
        <v>5.1716748731278073E-2</v>
      </c>
    </row>
    <row r="19" spans="1:1">
      <c r="A19" s="8">
        <v>5.5013014937807997E-2</v>
      </c>
    </row>
    <row r="20" spans="1:1">
      <c r="A20" s="8">
        <v>5.7731693182692105E-2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2"/>
  <sheetViews>
    <sheetView workbookViewId="0"/>
  </sheetViews>
  <sheetFormatPr defaultRowHeight="12.75"/>
  <sheetData>
    <row r="1" spans="1:9">
      <c r="C1" t="s">
        <v>57</v>
      </c>
      <c r="F1" t="s">
        <v>56</v>
      </c>
    </row>
    <row r="3" spans="1:9">
      <c r="A3" t="s">
        <v>55</v>
      </c>
      <c r="B3" t="s">
        <v>54</v>
      </c>
      <c r="C3" t="s">
        <v>53</v>
      </c>
      <c r="D3" t="s">
        <v>50</v>
      </c>
      <c r="E3" t="s">
        <v>52</v>
      </c>
      <c r="F3" t="s">
        <v>51</v>
      </c>
      <c r="G3" t="s">
        <v>50</v>
      </c>
      <c r="H3" t="s">
        <v>49</v>
      </c>
    </row>
    <row r="4" spans="1:9">
      <c r="A4">
        <v>0</v>
      </c>
      <c r="B4">
        <v>1</v>
      </c>
    </row>
    <row r="5" spans="1:9">
      <c r="A5">
        <v>1</v>
      </c>
      <c r="B5">
        <v>0.84489999999999998</v>
      </c>
    </row>
    <row r="6" spans="1:9">
      <c r="A6">
        <v>2</v>
      </c>
      <c r="B6">
        <v>0.79479999999999995</v>
      </c>
    </row>
    <row r="7" spans="1:9">
      <c r="A7">
        <v>3</v>
      </c>
      <c r="B7">
        <v>0.76749999999999996</v>
      </c>
    </row>
    <row r="8" spans="1:9">
      <c r="A8">
        <v>4</v>
      </c>
      <c r="B8">
        <v>0.75009999999999999</v>
      </c>
    </row>
    <row r="9" spans="1:9">
      <c r="A9">
        <v>5</v>
      </c>
      <c r="B9">
        <v>0.7379</v>
      </c>
    </row>
    <row r="10" spans="1:9">
      <c r="A10">
        <v>6</v>
      </c>
      <c r="B10">
        <v>0.72609999999999997</v>
      </c>
      <c r="C10" s="5">
        <v>34106</v>
      </c>
      <c r="D10" s="5">
        <v>1854</v>
      </c>
      <c r="E10" s="5">
        <f t="shared" ref="E10:E41" si="0">C10-D10</f>
        <v>32252</v>
      </c>
      <c r="F10" s="5">
        <v>34106</v>
      </c>
      <c r="G10" s="5">
        <v>1854</v>
      </c>
      <c r="H10" s="5">
        <v>32252</v>
      </c>
    </row>
    <row r="11" spans="1:9">
      <c r="A11">
        <v>7</v>
      </c>
      <c r="B11">
        <v>0.71699999999999997</v>
      </c>
      <c r="C11" s="5">
        <v>129871</v>
      </c>
      <c r="D11" s="5">
        <v>725</v>
      </c>
      <c r="E11" s="5">
        <f t="shared" si="0"/>
        <v>129146</v>
      </c>
      <c r="F11" s="5">
        <v>129871</v>
      </c>
      <c r="G11" s="5">
        <v>725</v>
      </c>
      <c r="H11" s="5">
        <v>129146</v>
      </c>
    </row>
    <row r="12" spans="1:9">
      <c r="A12">
        <v>8</v>
      </c>
      <c r="B12">
        <v>0.70960000000000001</v>
      </c>
      <c r="C12" s="5">
        <v>129461</v>
      </c>
      <c r="D12" s="5">
        <v>100</v>
      </c>
      <c r="E12" s="5">
        <f t="shared" si="0"/>
        <v>129361</v>
      </c>
      <c r="F12" s="5">
        <v>129461</v>
      </c>
      <c r="G12" s="5">
        <v>100</v>
      </c>
      <c r="H12" s="5">
        <v>129361</v>
      </c>
    </row>
    <row r="13" spans="1:9">
      <c r="A13">
        <v>9</v>
      </c>
      <c r="B13">
        <v>0.70350000000000001</v>
      </c>
      <c r="C13" s="5">
        <v>416672</v>
      </c>
      <c r="D13" s="5">
        <v>90106</v>
      </c>
      <c r="E13" s="5">
        <f t="shared" si="0"/>
        <v>326566</v>
      </c>
      <c r="F13" s="5">
        <v>416672</v>
      </c>
      <c r="G13" s="5">
        <v>90106</v>
      </c>
      <c r="H13" s="5">
        <v>306566</v>
      </c>
      <c r="I13" t="s">
        <v>48</v>
      </c>
    </row>
    <row r="14" spans="1:9">
      <c r="A14">
        <v>10</v>
      </c>
      <c r="B14">
        <v>0.69820000000000004</v>
      </c>
      <c r="C14" s="5">
        <v>325271</v>
      </c>
      <c r="D14" s="5">
        <v>10660</v>
      </c>
      <c r="E14" s="5">
        <f t="shared" si="0"/>
        <v>314611</v>
      </c>
      <c r="F14" s="5">
        <v>325271</v>
      </c>
      <c r="G14" s="5">
        <v>10660</v>
      </c>
      <c r="H14" s="5">
        <v>314611</v>
      </c>
    </row>
    <row r="15" spans="1:9">
      <c r="A15">
        <v>11</v>
      </c>
      <c r="B15">
        <v>0.69410000000000005</v>
      </c>
      <c r="C15" s="5">
        <v>1118254</v>
      </c>
      <c r="D15" s="5">
        <v>6723</v>
      </c>
      <c r="E15" s="5">
        <f t="shared" si="0"/>
        <v>1111531</v>
      </c>
      <c r="F15" s="5">
        <v>1118254</v>
      </c>
      <c r="G15" s="5">
        <v>6723</v>
      </c>
      <c r="H15" s="5">
        <v>1211531</v>
      </c>
      <c r="I15" t="s">
        <v>48</v>
      </c>
    </row>
    <row r="16" spans="1:9">
      <c r="A16">
        <v>12</v>
      </c>
      <c r="B16">
        <v>0.69020000000000004</v>
      </c>
      <c r="C16" s="5">
        <v>3070694</v>
      </c>
      <c r="D16" s="5">
        <v>18691</v>
      </c>
      <c r="E16" s="5">
        <f t="shared" si="0"/>
        <v>3052003</v>
      </c>
      <c r="F16" s="5">
        <v>3070694</v>
      </c>
      <c r="G16" s="5">
        <v>18691</v>
      </c>
      <c r="H16" s="5">
        <v>3052003</v>
      </c>
    </row>
    <row r="17" spans="1:8">
      <c r="A17">
        <v>13</v>
      </c>
      <c r="B17">
        <v>0.68640000000000001</v>
      </c>
      <c r="C17" s="5">
        <v>3075428</v>
      </c>
      <c r="D17" s="5">
        <v>331640</v>
      </c>
      <c r="E17" s="5">
        <f t="shared" si="0"/>
        <v>2743788</v>
      </c>
      <c r="F17" s="5">
        <v>3075428</v>
      </c>
      <c r="G17" s="5">
        <v>331640</v>
      </c>
      <c r="H17" s="5">
        <v>2743788</v>
      </c>
    </row>
    <row r="18" spans="1:8">
      <c r="A18">
        <v>14</v>
      </c>
      <c r="B18">
        <v>0.6825</v>
      </c>
      <c r="C18" s="5">
        <v>2891731</v>
      </c>
      <c r="D18" s="5">
        <v>466691</v>
      </c>
      <c r="E18" s="5">
        <f t="shared" si="0"/>
        <v>2425040</v>
      </c>
      <c r="F18" s="5">
        <v>2891731</v>
      </c>
      <c r="G18" s="5">
        <v>466691</v>
      </c>
      <c r="H18" s="5">
        <v>2425040</v>
      </c>
    </row>
    <row r="19" spans="1:8">
      <c r="A19">
        <v>15</v>
      </c>
      <c r="B19">
        <v>0.67830000000000001</v>
      </c>
      <c r="C19" s="5">
        <v>3271882</v>
      </c>
      <c r="D19" s="5">
        <v>60470</v>
      </c>
      <c r="E19" s="5">
        <f t="shared" si="0"/>
        <v>3211412</v>
      </c>
      <c r="F19" s="5">
        <v>3271882</v>
      </c>
      <c r="G19" s="5">
        <v>60470</v>
      </c>
      <c r="H19" s="5">
        <v>3211412</v>
      </c>
    </row>
    <row r="20" spans="1:8">
      <c r="A20">
        <v>16</v>
      </c>
      <c r="B20">
        <v>0.6734</v>
      </c>
      <c r="C20" s="5">
        <v>2592301</v>
      </c>
      <c r="D20" s="5">
        <v>7293</v>
      </c>
      <c r="E20" s="5">
        <f t="shared" si="0"/>
        <v>2585008</v>
      </c>
      <c r="F20" s="5">
        <v>2592301</v>
      </c>
      <c r="G20" s="5">
        <v>7293</v>
      </c>
      <c r="H20" s="5">
        <v>2585008</v>
      </c>
    </row>
    <row r="21" spans="1:8">
      <c r="A21">
        <v>17</v>
      </c>
      <c r="B21">
        <v>0.66820000000000002</v>
      </c>
      <c r="C21" s="5">
        <v>1754840</v>
      </c>
      <c r="D21" s="5">
        <v>2618</v>
      </c>
      <c r="E21" s="5">
        <f t="shared" si="0"/>
        <v>1752222</v>
      </c>
      <c r="F21" s="5">
        <v>1754840</v>
      </c>
      <c r="G21" s="5">
        <v>2618</v>
      </c>
      <c r="H21" s="5">
        <v>1752222</v>
      </c>
    </row>
    <row r="22" spans="1:8">
      <c r="A22">
        <v>18</v>
      </c>
      <c r="B22">
        <v>0.66279999999999994</v>
      </c>
      <c r="C22" s="5">
        <v>1324602</v>
      </c>
      <c r="D22" s="5">
        <v>9720</v>
      </c>
      <c r="E22" s="5">
        <f t="shared" si="0"/>
        <v>1314882</v>
      </c>
      <c r="F22" s="5">
        <v>1324602</v>
      </c>
      <c r="G22" s="5">
        <v>9720</v>
      </c>
      <c r="H22" s="5">
        <v>1314882</v>
      </c>
    </row>
    <row r="23" spans="1:8">
      <c r="A23">
        <v>19</v>
      </c>
      <c r="B23">
        <v>0.65710000000000002</v>
      </c>
      <c r="C23" s="5">
        <v>2014833</v>
      </c>
      <c r="D23" s="5">
        <v>23720</v>
      </c>
      <c r="E23" s="5">
        <f t="shared" si="0"/>
        <v>1991113</v>
      </c>
      <c r="F23" s="5">
        <v>2014833</v>
      </c>
      <c r="G23" s="5">
        <v>23720</v>
      </c>
      <c r="H23" s="5">
        <v>1991113</v>
      </c>
    </row>
    <row r="24" spans="1:8">
      <c r="A24">
        <v>20</v>
      </c>
      <c r="B24">
        <v>0.65110000000000001</v>
      </c>
      <c r="C24" s="5">
        <v>983036</v>
      </c>
      <c r="D24" s="5">
        <v>8512</v>
      </c>
      <c r="E24" s="5">
        <f t="shared" si="0"/>
        <v>974524</v>
      </c>
      <c r="F24" s="5">
        <v>983036</v>
      </c>
      <c r="G24" s="5">
        <v>8512</v>
      </c>
      <c r="H24" s="5">
        <v>974524</v>
      </c>
    </row>
    <row r="25" spans="1:8">
      <c r="A25">
        <v>21</v>
      </c>
      <c r="B25">
        <v>0.64500000000000002</v>
      </c>
      <c r="C25" s="5">
        <v>891681</v>
      </c>
      <c r="D25" s="5">
        <v>39656</v>
      </c>
      <c r="E25" s="5">
        <f t="shared" si="0"/>
        <v>852025</v>
      </c>
      <c r="F25" s="5">
        <v>891681</v>
      </c>
      <c r="G25" s="5">
        <v>39656</v>
      </c>
      <c r="H25" s="5">
        <v>852025</v>
      </c>
    </row>
    <row r="26" spans="1:8">
      <c r="A26">
        <v>22</v>
      </c>
      <c r="B26">
        <v>0.63870000000000005</v>
      </c>
      <c r="C26" s="5">
        <v>440684</v>
      </c>
      <c r="D26" s="5">
        <v>20936</v>
      </c>
      <c r="E26" s="5">
        <f t="shared" si="0"/>
        <v>419748</v>
      </c>
      <c r="F26" s="5">
        <v>440684</v>
      </c>
      <c r="G26" s="5">
        <v>20936</v>
      </c>
      <c r="H26" s="5">
        <v>419748</v>
      </c>
    </row>
    <row r="27" spans="1:8">
      <c r="A27">
        <v>23</v>
      </c>
      <c r="B27">
        <v>0.63229999999999997</v>
      </c>
      <c r="C27" s="5">
        <v>243589</v>
      </c>
      <c r="D27" s="5">
        <v>11750</v>
      </c>
      <c r="E27" s="5">
        <f t="shared" si="0"/>
        <v>231839</v>
      </c>
      <c r="F27" s="5">
        <v>243589</v>
      </c>
      <c r="G27" s="5">
        <v>11750</v>
      </c>
      <c r="H27" s="5">
        <v>231839</v>
      </c>
    </row>
    <row r="28" spans="1:8">
      <c r="A28">
        <v>24</v>
      </c>
      <c r="B28">
        <v>0.62580000000000002</v>
      </c>
      <c r="C28" s="5">
        <v>528148</v>
      </c>
      <c r="D28" s="5">
        <v>4242</v>
      </c>
      <c r="E28" s="5">
        <f t="shared" si="0"/>
        <v>523906</v>
      </c>
      <c r="F28" s="5">
        <v>528148</v>
      </c>
      <c r="G28" s="5">
        <v>4242</v>
      </c>
      <c r="H28" s="5">
        <v>523906</v>
      </c>
    </row>
    <row r="29" spans="1:8">
      <c r="A29">
        <v>25</v>
      </c>
      <c r="B29">
        <v>0.61929999999999996</v>
      </c>
      <c r="C29" s="5">
        <v>482473</v>
      </c>
      <c r="D29" s="5">
        <v>14235</v>
      </c>
      <c r="E29" s="5">
        <f t="shared" si="0"/>
        <v>468238</v>
      </c>
      <c r="F29" s="5">
        <v>482473</v>
      </c>
      <c r="G29" s="5">
        <v>14235</v>
      </c>
      <c r="H29" s="5">
        <v>468238</v>
      </c>
    </row>
    <row r="30" spans="1:8">
      <c r="A30">
        <v>26</v>
      </c>
      <c r="B30">
        <v>0.6129</v>
      </c>
      <c r="C30" s="5">
        <v>537527</v>
      </c>
      <c r="D30" s="5">
        <v>5240</v>
      </c>
      <c r="E30" s="5">
        <f t="shared" si="0"/>
        <v>532287</v>
      </c>
      <c r="F30" s="5">
        <v>537527</v>
      </c>
      <c r="G30" s="5">
        <v>5240</v>
      </c>
      <c r="H30" s="5">
        <v>532287</v>
      </c>
    </row>
    <row r="31" spans="1:8">
      <c r="A31">
        <v>27</v>
      </c>
      <c r="B31">
        <v>0.60650000000000004</v>
      </c>
      <c r="C31" s="5">
        <v>541567</v>
      </c>
      <c r="D31" s="5">
        <v>31513</v>
      </c>
      <c r="E31" s="5">
        <f t="shared" si="0"/>
        <v>510054</v>
      </c>
      <c r="F31" s="5">
        <v>541567</v>
      </c>
      <c r="G31" s="5">
        <v>31513</v>
      </c>
      <c r="H31" s="5">
        <v>510054</v>
      </c>
    </row>
    <row r="32" spans="1:8">
      <c r="A32">
        <v>28</v>
      </c>
      <c r="B32">
        <v>0.60019999999999996</v>
      </c>
      <c r="C32" s="5">
        <v>495106</v>
      </c>
      <c r="D32" s="5">
        <v>45275</v>
      </c>
      <c r="E32" s="5">
        <f t="shared" si="0"/>
        <v>449831</v>
      </c>
      <c r="F32" s="5">
        <v>495106</v>
      </c>
      <c r="G32" s="5">
        <v>45275</v>
      </c>
      <c r="H32" s="5">
        <v>449831</v>
      </c>
    </row>
    <row r="33" spans="1:9">
      <c r="A33">
        <v>29</v>
      </c>
      <c r="B33">
        <v>0.59389999999999998</v>
      </c>
      <c r="C33" s="5">
        <v>480125</v>
      </c>
      <c r="D33" s="5">
        <v>19731</v>
      </c>
      <c r="E33" s="5">
        <f t="shared" si="0"/>
        <v>460394</v>
      </c>
      <c r="F33" s="5">
        <v>480125</v>
      </c>
      <c r="G33" s="5">
        <v>19731</v>
      </c>
      <c r="H33" s="5">
        <v>460394</v>
      </c>
    </row>
    <row r="34" spans="1:9">
      <c r="A34">
        <v>30</v>
      </c>
      <c r="B34">
        <v>0.58779999999999999</v>
      </c>
      <c r="C34" s="5">
        <v>442132</v>
      </c>
      <c r="D34" s="5">
        <v>47439</v>
      </c>
      <c r="E34" s="5">
        <f t="shared" si="0"/>
        <v>394693</v>
      </c>
      <c r="F34" s="5">
        <v>442132</v>
      </c>
      <c r="G34" s="5">
        <v>47439</v>
      </c>
      <c r="H34" s="5">
        <v>394693</v>
      </c>
    </row>
    <row r="35" spans="1:9">
      <c r="A35">
        <v>31</v>
      </c>
      <c r="B35">
        <v>0.58179999999999998</v>
      </c>
      <c r="C35" s="5">
        <v>400523</v>
      </c>
      <c r="D35" s="5">
        <v>7367</v>
      </c>
      <c r="E35" s="5">
        <f t="shared" si="0"/>
        <v>393156</v>
      </c>
      <c r="F35" s="5">
        <v>400523</v>
      </c>
      <c r="G35" s="5">
        <v>7367</v>
      </c>
      <c r="H35" s="5">
        <v>393156</v>
      </c>
    </row>
    <row r="36" spans="1:9">
      <c r="A36">
        <v>32</v>
      </c>
      <c r="B36">
        <v>0.57599999999999996</v>
      </c>
      <c r="C36" s="5">
        <v>388273</v>
      </c>
      <c r="D36" s="5">
        <v>15057</v>
      </c>
      <c r="E36" s="5">
        <f t="shared" si="0"/>
        <v>373216</v>
      </c>
      <c r="F36" s="5">
        <v>388273</v>
      </c>
      <c r="G36" s="5">
        <v>15057</v>
      </c>
      <c r="H36" s="5">
        <v>373216</v>
      </c>
    </row>
    <row r="37" spans="1:9">
      <c r="A37">
        <v>33</v>
      </c>
      <c r="B37">
        <v>0.57020000000000004</v>
      </c>
      <c r="C37" s="5">
        <v>545287</v>
      </c>
      <c r="D37" s="5">
        <v>17627</v>
      </c>
      <c r="E37" s="5">
        <f t="shared" si="0"/>
        <v>527660</v>
      </c>
      <c r="F37" s="5">
        <v>545287</v>
      </c>
      <c r="G37" s="5">
        <v>17627</v>
      </c>
      <c r="H37" s="5">
        <v>527660</v>
      </c>
    </row>
    <row r="38" spans="1:9">
      <c r="A38">
        <v>34</v>
      </c>
      <c r="B38">
        <v>0.5645</v>
      </c>
      <c r="C38" s="5">
        <v>526726</v>
      </c>
      <c r="D38" s="5">
        <v>31708</v>
      </c>
      <c r="E38" s="5">
        <f t="shared" si="0"/>
        <v>495018</v>
      </c>
      <c r="F38" s="5">
        <v>526726</v>
      </c>
      <c r="G38" s="5">
        <v>31708</v>
      </c>
      <c r="H38" s="5">
        <v>495018</v>
      </c>
    </row>
    <row r="39" spans="1:9">
      <c r="A39">
        <v>35</v>
      </c>
      <c r="B39">
        <v>0.55879999999999996</v>
      </c>
      <c r="C39" s="5">
        <v>589182</v>
      </c>
      <c r="D39" s="5">
        <v>13077</v>
      </c>
      <c r="E39" s="5">
        <f t="shared" si="0"/>
        <v>576105</v>
      </c>
      <c r="F39" s="5">
        <v>589182</v>
      </c>
      <c r="G39" s="5">
        <v>13077</v>
      </c>
      <c r="H39" s="5">
        <v>576105</v>
      </c>
    </row>
    <row r="40" spans="1:9">
      <c r="A40">
        <v>36</v>
      </c>
      <c r="B40">
        <v>0.55330000000000001</v>
      </c>
      <c r="C40" s="5">
        <v>538550</v>
      </c>
      <c r="D40" s="5">
        <v>20069</v>
      </c>
      <c r="E40" s="5">
        <f t="shared" si="0"/>
        <v>518481</v>
      </c>
      <c r="F40" s="5">
        <v>538550</v>
      </c>
      <c r="G40" s="5">
        <v>20069</v>
      </c>
      <c r="H40" s="5">
        <v>518481</v>
      </c>
    </row>
    <row r="41" spans="1:9">
      <c r="A41">
        <v>37</v>
      </c>
      <c r="B41">
        <v>0.54769999999999996</v>
      </c>
      <c r="C41" s="5">
        <v>684912</v>
      </c>
      <c r="D41" s="5">
        <v>20886</v>
      </c>
      <c r="E41" s="5">
        <f t="shared" si="0"/>
        <v>664026</v>
      </c>
      <c r="F41" s="5">
        <v>684912</v>
      </c>
      <c r="G41" s="5">
        <v>20886</v>
      </c>
      <c r="H41" s="5">
        <v>664026</v>
      </c>
    </row>
    <row r="42" spans="1:9">
      <c r="A42">
        <v>38</v>
      </c>
      <c r="B42">
        <v>0.54220000000000002</v>
      </c>
      <c r="C42" s="5">
        <v>682167</v>
      </c>
      <c r="D42" s="5">
        <v>38080</v>
      </c>
      <c r="E42" s="5">
        <f t="shared" ref="E42:E73" si="1">C42-D42</f>
        <v>644087</v>
      </c>
      <c r="F42" s="5">
        <v>682167</v>
      </c>
      <c r="G42" s="5">
        <v>38080</v>
      </c>
      <c r="H42" s="5">
        <v>644087</v>
      </c>
    </row>
    <row r="43" spans="1:9">
      <c r="A43">
        <v>39</v>
      </c>
      <c r="B43">
        <v>0.53669999999999995</v>
      </c>
      <c r="C43" s="5">
        <v>1241728</v>
      </c>
      <c r="D43" s="5">
        <v>26489</v>
      </c>
      <c r="E43" s="5">
        <f t="shared" si="1"/>
        <v>1215239</v>
      </c>
      <c r="F43" s="5">
        <v>1241728</v>
      </c>
      <c r="G43" s="5">
        <v>26489</v>
      </c>
      <c r="H43" s="5">
        <v>1215239</v>
      </c>
    </row>
    <row r="44" spans="1:9">
      <c r="A44">
        <v>40</v>
      </c>
      <c r="B44">
        <v>0.53120000000000001</v>
      </c>
      <c r="C44" s="5">
        <v>731885</v>
      </c>
      <c r="D44" s="5">
        <v>63761</v>
      </c>
      <c r="E44" s="5">
        <f t="shared" si="1"/>
        <v>668124</v>
      </c>
      <c r="F44" s="5">
        <v>731885</v>
      </c>
      <c r="G44" s="5">
        <v>63761</v>
      </c>
      <c r="H44" s="5">
        <v>668124</v>
      </c>
    </row>
    <row r="45" spans="1:9">
      <c r="A45">
        <v>41</v>
      </c>
      <c r="B45">
        <v>0.52559999999999996</v>
      </c>
      <c r="C45" s="5">
        <v>738448</v>
      </c>
      <c r="D45" s="5">
        <v>14641</v>
      </c>
      <c r="E45" s="5">
        <f t="shared" si="1"/>
        <v>723807</v>
      </c>
      <c r="F45" s="5">
        <v>738448</v>
      </c>
      <c r="G45" s="5">
        <v>14641</v>
      </c>
      <c r="H45" s="5">
        <v>723807</v>
      </c>
    </row>
    <row r="46" spans="1:9">
      <c r="A46">
        <v>42</v>
      </c>
      <c r="B46">
        <v>0.52</v>
      </c>
      <c r="C46" s="5">
        <v>826179</v>
      </c>
      <c r="D46" s="5">
        <v>18938</v>
      </c>
      <c r="E46" s="5">
        <f t="shared" si="1"/>
        <v>807241</v>
      </c>
      <c r="F46" s="5">
        <v>826179</v>
      </c>
      <c r="G46" s="5">
        <v>18938</v>
      </c>
      <c r="H46" s="5">
        <v>807241</v>
      </c>
    </row>
    <row r="47" spans="1:9">
      <c r="A47">
        <v>43</v>
      </c>
      <c r="B47">
        <v>0.51429999999999998</v>
      </c>
      <c r="C47" s="5">
        <v>836613</v>
      </c>
      <c r="D47" s="5">
        <v>26836</v>
      </c>
      <c r="E47" s="5">
        <f t="shared" si="1"/>
        <v>809777</v>
      </c>
      <c r="F47" s="5">
        <v>836613</v>
      </c>
      <c r="G47" s="5">
        <v>26836</v>
      </c>
      <c r="H47" s="5">
        <v>859777</v>
      </c>
      <c r="I47" t="s">
        <v>48</v>
      </c>
    </row>
    <row r="48" spans="1:9">
      <c r="A48">
        <v>44</v>
      </c>
      <c r="B48">
        <v>0.50839999999999996</v>
      </c>
      <c r="C48" s="5">
        <v>661942</v>
      </c>
      <c r="D48" s="5">
        <v>27131</v>
      </c>
      <c r="E48" s="5">
        <f t="shared" si="1"/>
        <v>634811</v>
      </c>
      <c r="F48" s="5">
        <v>661942</v>
      </c>
      <c r="G48" s="5">
        <v>27131</v>
      </c>
      <c r="H48" s="5">
        <v>634811</v>
      </c>
    </row>
    <row r="49" spans="1:9">
      <c r="A49">
        <v>45</v>
      </c>
      <c r="B49">
        <v>0.50249999999999995</v>
      </c>
      <c r="C49" s="5">
        <v>775101</v>
      </c>
      <c r="D49" s="5">
        <v>18653</v>
      </c>
      <c r="E49" s="5">
        <f t="shared" si="1"/>
        <v>756448</v>
      </c>
      <c r="F49" s="5">
        <v>775101</v>
      </c>
      <c r="G49" s="5">
        <v>18653</v>
      </c>
      <c r="H49" s="5">
        <v>756448</v>
      </c>
    </row>
    <row r="50" spans="1:9">
      <c r="A50">
        <v>46</v>
      </c>
      <c r="B50">
        <v>0.49640000000000001</v>
      </c>
      <c r="C50" s="5">
        <v>740663</v>
      </c>
      <c r="D50" s="5">
        <v>37069</v>
      </c>
      <c r="E50" s="5">
        <f t="shared" si="1"/>
        <v>703594</v>
      </c>
      <c r="F50" s="5">
        <v>740663</v>
      </c>
      <c r="G50" s="5">
        <v>37069</v>
      </c>
      <c r="H50" s="5">
        <v>703594</v>
      </c>
    </row>
    <row r="51" spans="1:9">
      <c r="A51">
        <v>47</v>
      </c>
      <c r="B51">
        <v>0.49009999999999998</v>
      </c>
      <c r="C51" s="5">
        <v>1065271</v>
      </c>
      <c r="D51" s="5">
        <v>241198</v>
      </c>
      <c r="E51" s="5">
        <f t="shared" si="1"/>
        <v>824073</v>
      </c>
      <c r="F51" s="5">
        <v>1065271</v>
      </c>
      <c r="G51" s="5">
        <v>241198</v>
      </c>
      <c r="H51" s="5">
        <v>824073</v>
      </c>
    </row>
    <row r="52" spans="1:9">
      <c r="A52">
        <v>48</v>
      </c>
      <c r="B52">
        <v>0.48359999999999997</v>
      </c>
      <c r="C52" s="5">
        <v>985566</v>
      </c>
      <c r="D52" s="5">
        <v>15260</v>
      </c>
      <c r="E52" s="5">
        <f t="shared" si="1"/>
        <v>970306</v>
      </c>
      <c r="F52" s="5">
        <v>985566</v>
      </c>
      <c r="G52" s="5">
        <v>15260</v>
      </c>
      <c r="H52" s="5">
        <v>970306</v>
      </c>
    </row>
    <row r="53" spans="1:9">
      <c r="A53">
        <v>49</v>
      </c>
      <c r="B53">
        <v>0.47689999999999999</v>
      </c>
      <c r="C53" s="5">
        <v>850634</v>
      </c>
      <c r="D53" s="5">
        <v>16224</v>
      </c>
      <c r="E53" s="5">
        <f t="shared" si="1"/>
        <v>834410</v>
      </c>
      <c r="F53" s="5">
        <v>850634</v>
      </c>
      <c r="G53" s="5">
        <v>16224</v>
      </c>
      <c r="H53" s="5">
        <v>836410</v>
      </c>
    </row>
    <row r="54" spans="1:9">
      <c r="A54">
        <v>50</v>
      </c>
      <c r="B54">
        <v>0.47</v>
      </c>
      <c r="C54" s="5">
        <v>1413070</v>
      </c>
      <c r="D54" s="5">
        <v>55200</v>
      </c>
      <c r="E54" s="5">
        <f t="shared" si="1"/>
        <v>1357870</v>
      </c>
      <c r="F54" s="5">
        <v>1413070</v>
      </c>
      <c r="G54" s="5">
        <v>55200</v>
      </c>
      <c r="H54" s="5">
        <v>1357870</v>
      </c>
    </row>
    <row r="55" spans="1:9">
      <c r="A55">
        <v>51</v>
      </c>
      <c r="B55">
        <v>0.46279999999999999</v>
      </c>
      <c r="C55" s="5">
        <v>1011905</v>
      </c>
      <c r="D55" s="5">
        <v>35271</v>
      </c>
      <c r="E55" s="5">
        <f t="shared" si="1"/>
        <v>976634</v>
      </c>
      <c r="F55" s="5">
        <v>1011905</v>
      </c>
      <c r="G55" s="5">
        <v>35271</v>
      </c>
      <c r="H55" s="5">
        <v>976634</v>
      </c>
    </row>
    <row r="56" spans="1:9">
      <c r="A56">
        <v>52</v>
      </c>
      <c r="B56">
        <v>0.45529999999999998</v>
      </c>
      <c r="C56" s="5">
        <v>849744</v>
      </c>
      <c r="D56" s="5">
        <v>21193</v>
      </c>
      <c r="E56" s="5">
        <f t="shared" si="1"/>
        <v>828551</v>
      </c>
      <c r="F56" s="5">
        <v>849744</v>
      </c>
      <c r="G56" s="5">
        <v>21193</v>
      </c>
      <c r="H56" s="5">
        <v>828551</v>
      </c>
    </row>
    <row r="57" spans="1:9">
      <c r="A57">
        <v>53</v>
      </c>
      <c r="B57">
        <v>0.44750000000000001</v>
      </c>
      <c r="C57" s="5">
        <v>867570</v>
      </c>
      <c r="D57" s="5">
        <v>34804</v>
      </c>
      <c r="E57" s="5">
        <f t="shared" si="1"/>
        <v>832766</v>
      </c>
      <c r="F57" s="5">
        <v>867570</v>
      </c>
      <c r="G57" s="5">
        <v>34804</v>
      </c>
      <c r="H57" s="5">
        <v>832766</v>
      </c>
    </row>
    <row r="58" spans="1:9">
      <c r="A58">
        <v>54</v>
      </c>
      <c r="B58">
        <v>0.43940000000000001</v>
      </c>
      <c r="C58" s="5">
        <v>840243</v>
      </c>
      <c r="D58" s="5">
        <v>45978</v>
      </c>
      <c r="E58" s="5">
        <f t="shared" si="1"/>
        <v>794265</v>
      </c>
      <c r="F58" s="5">
        <v>840243</v>
      </c>
      <c r="G58" s="5">
        <v>45978</v>
      </c>
      <c r="H58" s="5">
        <v>794265</v>
      </c>
    </row>
    <row r="59" spans="1:9">
      <c r="A59">
        <v>55</v>
      </c>
      <c r="B59">
        <v>0.43090000000000001</v>
      </c>
      <c r="C59" s="5">
        <v>734856</v>
      </c>
      <c r="D59" s="5">
        <v>37760</v>
      </c>
      <c r="E59" s="5">
        <f t="shared" si="1"/>
        <v>697096</v>
      </c>
      <c r="F59" s="5">
        <v>734856</v>
      </c>
      <c r="G59" s="5">
        <v>37760</v>
      </c>
      <c r="H59" s="5">
        <v>697096</v>
      </c>
    </row>
    <row r="60" spans="1:9">
      <c r="A60">
        <v>56</v>
      </c>
      <c r="B60">
        <v>0.42209999999999998</v>
      </c>
      <c r="C60" s="5">
        <v>863329</v>
      </c>
      <c r="D60" s="5">
        <v>69039</v>
      </c>
      <c r="E60" s="5">
        <f t="shared" si="1"/>
        <v>794290</v>
      </c>
      <c r="F60" s="5">
        <v>863329</v>
      </c>
      <c r="G60" s="5">
        <v>69039</v>
      </c>
      <c r="H60" s="5">
        <v>794290</v>
      </c>
    </row>
    <row r="61" spans="1:9">
      <c r="A61">
        <v>57</v>
      </c>
      <c r="B61">
        <v>0.41289999999999999</v>
      </c>
      <c r="C61" s="5">
        <v>1000967</v>
      </c>
      <c r="D61" s="5">
        <v>58800</v>
      </c>
      <c r="E61" s="5">
        <f t="shared" si="1"/>
        <v>942167</v>
      </c>
      <c r="F61" s="5">
        <v>1000967</v>
      </c>
      <c r="G61" s="5">
        <v>58800</v>
      </c>
      <c r="H61" s="5">
        <v>942167</v>
      </c>
    </row>
    <row r="62" spans="1:9">
      <c r="A62">
        <v>58</v>
      </c>
      <c r="B62">
        <v>0.40329999999999999</v>
      </c>
      <c r="C62" s="5">
        <v>1169150</v>
      </c>
      <c r="D62" s="5">
        <v>53161</v>
      </c>
      <c r="E62" s="5">
        <f t="shared" si="1"/>
        <v>1115989</v>
      </c>
      <c r="F62" s="5">
        <v>1169150</v>
      </c>
      <c r="G62" s="5">
        <v>53161</v>
      </c>
      <c r="H62" s="5">
        <v>1115989</v>
      </c>
    </row>
    <row r="63" spans="1:9">
      <c r="A63">
        <v>59</v>
      </c>
      <c r="B63">
        <v>0.39329999999999998</v>
      </c>
      <c r="C63" s="5">
        <v>756789</v>
      </c>
      <c r="D63" s="5">
        <v>72089</v>
      </c>
      <c r="E63" s="5">
        <f t="shared" si="1"/>
        <v>684700</v>
      </c>
      <c r="F63" s="5">
        <v>756789</v>
      </c>
      <c r="G63" s="5">
        <v>72089</v>
      </c>
      <c r="H63" s="5">
        <v>684700</v>
      </c>
    </row>
    <row r="64" spans="1:9">
      <c r="A64">
        <v>60</v>
      </c>
      <c r="B64">
        <v>0.38279999999999997</v>
      </c>
      <c r="C64" s="5">
        <v>1239014</v>
      </c>
      <c r="D64" s="5">
        <v>72440</v>
      </c>
      <c r="E64" s="5">
        <f t="shared" si="1"/>
        <v>1166574</v>
      </c>
      <c r="F64" s="5">
        <v>1239014</v>
      </c>
      <c r="G64" s="5">
        <v>72440</v>
      </c>
      <c r="H64" s="5">
        <v>1166674</v>
      </c>
      <c r="I64" t="s">
        <v>48</v>
      </c>
    </row>
    <row r="65" spans="1:9">
      <c r="A65">
        <v>61</v>
      </c>
      <c r="B65">
        <v>0.37190000000000001</v>
      </c>
      <c r="C65" s="5">
        <v>1023235</v>
      </c>
      <c r="D65" s="5">
        <v>70775</v>
      </c>
      <c r="E65" s="5">
        <f t="shared" si="1"/>
        <v>952460</v>
      </c>
      <c r="F65" s="5">
        <v>1023235</v>
      </c>
      <c r="G65" s="5">
        <v>70775</v>
      </c>
      <c r="H65" s="5">
        <v>952460</v>
      </c>
    </row>
    <row r="66" spans="1:9">
      <c r="A66">
        <v>62</v>
      </c>
      <c r="B66">
        <v>0.36059999999999998</v>
      </c>
      <c r="C66" s="5">
        <v>1092972</v>
      </c>
      <c r="D66" s="5">
        <v>45353</v>
      </c>
      <c r="E66" s="5">
        <f t="shared" si="1"/>
        <v>1047619</v>
      </c>
      <c r="F66" s="5">
        <v>1092972</v>
      </c>
      <c r="G66" s="5">
        <v>45353</v>
      </c>
      <c r="H66" s="5">
        <v>1047619</v>
      </c>
    </row>
    <row r="67" spans="1:9">
      <c r="A67">
        <v>63</v>
      </c>
      <c r="B67">
        <v>0.3488</v>
      </c>
      <c r="C67" s="5">
        <v>909583</v>
      </c>
      <c r="D67" s="5">
        <v>69614</v>
      </c>
      <c r="E67" s="5">
        <f t="shared" si="1"/>
        <v>839969</v>
      </c>
      <c r="F67" s="5">
        <v>909583</v>
      </c>
      <c r="G67" s="5">
        <v>69614</v>
      </c>
      <c r="H67" s="5">
        <v>839969</v>
      </c>
    </row>
    <row r="68" spans="1:9">
      <c r="A68">
        <v>64</v>
      </c>
      <c r="B68">
        <v>0.33650000000000002</v>
      </c>
      <c r="C68" s="5">
        <v>1101293</v>
      </c>
      <c r="D68" s="5">
        <v>77869</v>
      </c>
      <c r="E68" s="5">
        <f t="shared" si="1"/>
        <v>1023424</v>
      </c>
      <c r="F68" s="5">
        <v>1101293</v>
      </c>
      <c r="G68" s="5">
        <v>77869</v>
      </c>
      <c r="H68" s="5">
        <v>1023424</v>
      </c>
    </row>
    <row r="69" spans="1:9">
      <c r="A69">
        <v>65</v>
      </c>
      <c r="B69">
        <v>0.32379999999999998</v>
      </c>
      <c r="C69" s="5">
        <v>923537</v>
      </c>
      <c r="D69" s="5">
        <v>73184</v>
      </c>
      <c r="E69" s="5">
        <f t="shared" si="1"/>
        <v>850353</v>
      </c>
      <c r="F69" s="5">
        <v>923537</v>
      </c>
      <c r="G69" s="5">
        <v>73184</v>
      </c>
      <c r="H69" s="5">
        <v>850353</v>
      </c>
    </row>
    <row r="70" spans="1:9">
      <c r="A70">
        <v>66</v>
      </c>
      <c r="B70">
        <v>0.31069999999999998</v>
      </c>
      <c r="C70" s="5">
        <v>864660</v>
      </c>
      <c r="D70" s="5">
        <v>88957</v>
      </c>
      <c r="E70" s="5">
        <f t="shared" si="1"/>
        <v>775703</v>
      </c>
      <c r="F70" s="5">
        <v>864660</v>
      </c>
      <c r="G70" s="5">
        <v>88957</v>
      </c>
      <c r="H70" s="5">
        <v>775703</v>
      </c>
    </row>
    <row r="71" spans="1:9">
      <c r="A71">
        <v>67</v>
      </c>
      <c r="B71">
        <v>0.29709999999999998</v>
      </c>
      <c r="C71" s="5">
        <v>1156084</v>
      </c>
      <c r="D71" s="5">
        <v>68616</v>
      </c>
      <c r="E71" s="5">
        <f t="shared" si="1"/>
        <v>1087468</v>
      </c>
      <c r="F71" s="5">
        <v>1156084</v>
      </c>
      <c r="G71" s="5">
        <v>68616</v>
      </c>
      <c r="H71" s="5">
        <v>1087468</v>
      </c>
    </row>
    <row r="72" spans="1:9">
      <c r="A72">
        <v>68</v>
      </c>
      <c r="B72">
        <v>0.28310000000000002</v>
      </c>
      <c r="C72" s="5">
        <v>874402</v>
      </c>
      <c r="D72" s="5">
        <v>76395</v>
      </c>
      <c r="E72" s="5">
        <f t="shared" si="1"/>
        <v>798007</v>
      </c>
      <c r="F72" s="5">
        <v>874402</v>
      </c>
      <c r="G72" s="5">
        <v>76395</v>
      </c>
      <c r="H72" s="5">
        <v>798007</v>
      </c>
    </row>
    <row r="73" spans="1:9">
      <c r="A73">
        <v>69</v>
      </c>
      <c r="B73">
        <v>0.26869999999999999</v>
      </c>
      <c r="C73" s="5">
        <v>860833</v>
      </c>
      <c r="D73" s="5">
        <v>125095</v>
      </c>
      <c r="E73" s="5">
        <f t="shared" si="1"/>
        <v>735738</v>
      </c>
      <c r="F73" s="5">
        <v>860833</v>
      </c>
      <c r="G73" s="5">
        <v>125095</v>
      </c>
      <c r="H73" s="5">
        <v>735738</v>
      </c>
    </row>
    <row r="74" spans="1:9">
      <c r="A74">
        <v>70</v>
      </c>
      <c r="B74">
        <v>0.254</v>
      </c>
      <c r="C74" s="5">
        <v>737428</v>
      </c>
      <c r="D74" s="5">
        <v>129527</v>
      </c>
      <c r="E74" s="5">
        <f t="shared" ref="E74:E94" si="2">C74-D74</f>
        <v>607901</v>
      </c>
      <c r="F74" s="5">
        <v>737428</v>
      </c>
      <c r="G74" s="5">
        <v>129527</v>
      </c>
      <c r="H74" s="5">
        <v>607901</v>
      </c>
    </row>
    <row r="75" spans="1:9">
      <c r="A75">
        <v>71</v>
      </c>
      <c r="B75">
        <v>0.23899999999999999</v>
      </c>
      <c r="C75" s="5">
        <v>1050380</v>
      </c>
      <c r="D75" s="5">
        <v>203664</v>
      </c>
      <c r="E75" s="5">
        <f t="shared" si="2"/>
        <v>846716</v>
      </c>
      <c r="F75" s="5">
        <v>1050380</v>
      </c>
      <c r="G75" s="5">
        <v>203664</v>
      </c>
      <c r="H75" s="5">
        <v>846716</v>
      </c>
    </row>
    <row r="76" spans="1:9">
      <c r="A76">
        <v>72</v>
      </c>
      <c r="B76">
        <v>0.22370000000000001</v>
      </c>
      <c r="C76" s="5">
        <v>764652</v>
      </c>
      <c r="D76" s="5">
        <v>126034</v>
      </c>
      <c r="E76" s="5">
        <f t="shared" si="2"/>
        <v>638618</v>
      </c>
      <c r="F76" s="5">
        <v>764652</v>
      </c>
      <c r="G76" s="5">
        <v>126034</v>
      </c>
      <c r="H76" s="5">
        <v>638628</v>
      </c>
      <c r="I76" t="s">
        <v>48</v>
      </c>
    </row>
    <row r="77" spans="1:9">
      <c r="A77">
        <v>73</v>
      </c>
      <c r="B77">
        <v>0.20830000000000001</v>
      </c>
      <c r="C77" s="5">
        <v>703774</v>
      </c>
      <c r="D77" s="5">
        <v>118371</v>
      </c>
      <c r="E77" s="5">
        <f t="shared" si="2"/>
        <v>585403</v>
      </c>
      <c r="F77" s="5">
        <v>703774</v>
      </c>
      <c r="G77" s="5">
        <v>118371</v>
      </c>
      <c r="H77" s="5">
        <v>585403</v>
      </c>
    </row>
    <row r="78" spans="1:9">
      <c r="A78">
        <v>74</v>
      </c>
      <c r="B78">
        <v>0.1928</v>
      </c>
      <c r="C78" s="5">
        <v>740183</v>
      </c>
      <c r="D78" s="5">
        <v>119286</v>
      </c>
      <c r="E78" s="5">
        <f t="shared" si="2"/>
        <v>620897</v>
      </c>
      <c r="F78" s="5">
        <v>740183</v>
      </c>
      <c r="G78" s="5">
        <v>119286</v>
      </c>
      <c r="H78" s="5">
        <v>620897</v>
      </c>
    </row>
    <row r="79" spans="1:9">
      <c r="A79">
        <v>75</v>
      </c>
      <c r="B79">
        <v>0.1772</v>
      </c>
      <c r="C79" s="5">
        <v>586092</v>
      </c>
      <c r="D79" s="5">
        <v>126316</v>
      </c>
      <c r="E79" s="5">
        <f t="shared" si="2"/>
        <v>459776</v>
      </c>
      <c r="F79" s="5">
        <v>586092</v>
      </c>
      <c r="G79" s="5">
        <v>126316</v>
      </c>
      <c r="H79" s="5">
        <v>459776</v>
      </c>
    </row>
    <row r="80" spans="1:9">
      <c r="A80">
        <v>76</v>
      </c>
      <c r="B80">
        <v>0.1618</v>
      </c>
      <c r="C80" s="5">
        <v>536823</v>
      </c>
      <c r="D80" s="5">
        <v>76216</v>
      </c>
      <c r="E80" s="5">
        <f t="shared" si="2"/>
        <v>460607</v>
      </c>
      <c r="F80" s="5">
        <v>536823</v>
      </c>
      <c r="G80" s="5">
        <v>76216</v>
      </c>
      <c r="H80" s="5">
        <v>460607</v>
      </c>
    </row>
    <row r="81" spans="1:8">
      <c r="A81">
        <v>77</v>
      </c>
      <c r="B81">
        <v>0.14649999999999999</v>
      </c>
      <c r="C81" s="5">
        <v>649941</v>
      </c>
      <c r="D81" s="5">
        <v>101156</v>
      </c>
      <c r="E81" s="5">
        <f t="shared" si="2"/>
        <v>548785</v>
      </c>
      <c r="F81" s="5">
        <v>649941</v>
      </c>
      <c r="G81" s="5">
        <v>101156</v>
      </c>
      <c r="H81" s="5">
        <v>548785</v>
      </c>
    </row>
    <row r="82" spans="1:8">
      <c r="A82">
        <v>78</v>
      </c>
      <c r="B82">
        <v>0.13150000000000001</v>
      </c>
      <c r="C82" s="5">
        <v>505869</v>
      </c>
      <c r="D82" s="5">
        <v>120989</v>
      </c>
      <c r="E82" s="5">
        <f t="shared" si="2"/>
        <v>384880</v>
      </c>
      <c r="F82" s="5">
        <v>505869</v>
      </c>
      <c r="G82" s="5">
        <v>120989</v>
      </c>
      <c r="H82" s="5">
        <v>384880</v>
      </c>
    </row>
    <row r="83" spans="1:8">
      <c r="A83">
        <v>79</v>
      </c>
      <c r="B83">
        <v>0.11700000000000001</v>
      </c>
      <c r="C83" s="5">
        <v>769909</v>
      </c>
      <c r="D83" s="5">
        <v>105681</v>
      </c>
      <c r="E83" s="5">
        <f t="shared" si="2"/>
        <v>664228</v>
      </c>
      <c r="F83" s="5">
        <v>769909</v>
      </c>
      <c r="G83" s="5">
        <v>105681</v>
      </c>
      <c r="H83" s="5">
        <v>664228</v>
      </c>
    </row>
    <row r="84" spans="1:8">
      <c r="A84">
        <v>80</v>
      </c>
      <c r="B84">
        <v>0.10299999999999999</v>
      </c>
      <c r="C84" s="5">
        <v>505153</v>
      </c>
      <c r="D84" s="5">
        <v>128009</v>
      </c>
      <c r="E84" s="5">
        <f t="shared" si="2"/>
        <v>377144</v>
      </c>
      <c r="F84" s="5">
        <v>505153</v>
      </c>
      <c r="G84" s="5">
        <v>128009</v>
      </c>
      <c r="H84" s="5">
        <v>377144</v>
      </c>
    </row>
    <row r="85" spans="1:8">
      <c r="A85">
        <v>81</v>
      </c>
      <c r="B85">
        <v>8.9599999999999999E-2</v>
      </c>
      <c r="C85" s="5">
        <v>325933</v>
      </c>
      <c r="D85" s="5">
        <v>98338</v>
      </c>
      <c r="E85" s="5">
        <f t="shared" si="2"/>
        <v>227595</v>
      </c>
      <c r="F85" s="5">
        <v>325933</v>
      </c>
      <c r="G85" s="5">
        <v>98338</v>
      </c>
      <c r="H85" s="5">
        <v>227595</v>
      </c>
    </row>
    <row r="86" spans="1:8">
      <c r="A86">
        <v>82</v>
      </c>
      <c r="B86">
        <v>7.6999999999999999E-2</v>
      </c>
      <c r="C86" s="5">
        <v>318010</v>
      </c>
      <c r="D86" s="5">
        <v>115234</v>
      </c>
      <c r="E86" s="5">
        <f t="shared" si="2"/>
        <v>202776</v>
      </c>
      <c r="F86" s="5">
        <v>318010</v>
      </c>
      <c r="G86" s="5">
        <v>115234</v>
      </c>
      <c r="H86" s="5">
        <v>202776</v>
      </c>
    </row>
    <row r="87" spans="1:8">
      <c r="A87">
        <v>83</v>
      </c>
      <c r="B87">
        <v>6.5299999999999997E-2</v>
      </c>
      <c r="C87" s="5">
        <v>243511</v>
      </c>
      <c r="D87" s="5">
        <v>80331</v>
      </c>
      <c r="E87" s="5">
        <f t="shared" si="2"/>
        <v>163180</v>
      </c>
      <c r="F87" s="5">
        <v>243511</v>
      </c>
      <c r="G87" s="5">
        <v>80331</v>
      </c>
      <c r="H87" s="5">
        <v>163180</v>
      </c>
    </row>
    <row r="88" spans="1:8">
      <c r="A88">
        <v>84</v>
      </c>
      <c r="B88">
        <v>5.4600000000000003E-2</v>
      </c>
      <c r="C88" s="5">
        <v>255563</v>
      </c>
      <c r="D88" s="5">
        <v>86363</v>
      </c>
      <c r="E88" s="5">
        <f t="shared" si="2"/>
        <v>169200</v>
      </c>
      <c r="F88" s="5">
        <v>255563</v>
      </c>
      <c r="G88" s="5">
        <v>86363</v>
      </c>
      <c r="H88" s="5">
        <v>169200</v>
      </c>
    </row>
    <row r="89" spans="1:8">
      <c r="A89">
        <v>85</v>
      </c>
      <c r="B89">
        <v>4.4900000000000002E-2</v>
      </c>
      <c r="C89" s="5">
        <v>207067</v>
      </c>
      <c r="D89" s="5">
        <v>75125</v>
      </c>
      <c r="E89" s="5">
        <f t="shared" si="2"/>
        <v>131942</v>
      </c>
      <c r="F89" s="5">
        <v>207067</v>
      </c>
      <c r="G89" s="5">
        <v>75125</v>
      </c>
      <c r="H89" s="5">
        <v>131942</v>
      </c>
    </row>
    <row r="90" spans="1:8">
      <c r="A90">
        <v>86</v>
      </c>
      <c r="B90">
        <v>3.6299999999999999E-2</v>
      </c>
      <c r="C90" s="5">
        <v>172715</v>
      </c>
      <c r="D90" s="5">
        <v>86626</v>
      </c>
      <c r="E90" s="5">
        <f t="shared" si="2"/>
        <v>86089</v>
      </c>
      <c r="F90" s="5">
        <v>172715</v>
      </c>
      <c r="G90" s="5">
        <v>86626</v>
      </c>
      <c r="H90" s="5">
        <v>86089</v>
      </c>
    </row>
    <row r="91" spans="1:8">
      <c r="A91">
        <v>87</v>
      </c>
      <c r="B91">
        <v>2.8799999999999999E-2</v>
      </c>
      <c r="C91" s="5">
        <v>179253</v>
      </c>
      <c r="D91" s="5">
        <v>77879</v>
      </c>
      <c r="E91" s="5">
        <f t="shared" si="2"/>
        <v>101374</v>
      </c>
      <c r="F91" s="5">
        <v>179253</v>
      </c>
      <c r="G91" s="5">
        <v>77879</v>
      </c>
      <c r="H91" s="5">
        <v>101374</v>
      </c>
    </row>
    <row r="92" spans="1:8">
      <c r="A92">
        <v>88</v>
      </c>
      <c r="B92">
        <v>2.23E-2</v>
      </c>
      <c r="C92" s="5">
        <v>128355</v>
      </c>
      <c r="D92" s="5">
        <v>48361</v>
      </c>
      <c r="E92" s="5">
        <f t="shared" si="2"/>
        <v>79994</v>
      </c>
      <c r="F92" s="5">
        <v>128355</v>
      </c>
      <c r="G92" s="5">
        <v>48361</v>
      </c>
      <c r="H92" s="5">
        <v>79994</v>
      </c>
    </row>
    <row r="93" spans="1:8">
      <c r="A93">
        <v>89</v>
      </c>
      <c r="B93">
        <v>1.6899999999999998E-2</v>
      </c>
      <c r="C93" s="5">
        <v>246045</v>
      </c>
      <c r="D93" s="5">
        <v>71655</v>
      </c>
      <c r="E93" s="5">
        <f t="shared" si="2"/>
        <v>174390</v>
      </c>
      <c r="F93" s="5">
        <v>246045</v>
      </c>
      <c r="G93" s="5">
        <v>71655</v>
      </c>
      <c r="H93" s="5">
        <v>174390</v>
      </c>
    </row>
    <row r="94" spans="1:8">
      <c r="A94">
        <v>90</v>
      </c>
      <c r="B94">
        <v>1.2500000000000001E-2</v>
      </c>
      <c r="C94" s="5">
        <v>538859</v>
      </c>
      <c r="D94" s="5">
        <v>252227</v>
      </c>
      <c r="E94" s="5">
        <f t="shared" si="2"/>
        <v>286632</v>
      </c>
      <c r="F94" s="5">
        <v>538859</v>
      </c>
      <c r="G94" s="5">
        <v>252227</v>
      </c>
      <c r="H94" s="5">
        <v>286632</v>
      </c>
    </row>
    <row r="95" spans="1:8">
      <c r="A95">
        <v>91</v>
      </c>
      <c r="B95">
        <v>8.9999999999999993E-3</v>
      </c>
    </row>
    <row r="96" spans="1:8">
      <c r="A96">
        <v>92</v>
      </c>
      <c r="B96">
        <v>6.3E-3</v>
      </c>
    </row>
    <row r="97" spans="1:8">
      <c r="A97">
        <v>93</v>
      </c>
      <c r="B97">
        <v>4.1000000000000003E-3</v>
      </c>
    </row>
    <row r="98" spans="1:8">
      <c r="A98">
        <v>94</v>
      </c>
      <c r="B98">
        <v>2.5999999999999999E-3</v>
      </c>
    </row>
    <row r="99" spans="1:8">
      <c r="A99">
        <v>95</v>
      </c>
      <c r="B99">
        <v>1.1999999999999999E-3</v>
      </c>
    </row>
    <row r="100" spans="1:8">
      <c r="A100">
        <v>96</v>
      </c>
      <c r="B100">
        <v>5.0000000000000001E-4</v>
      </c>
    </row>
    <row r="101" spans="1:8">
      <c r="A101">
        <v>97</v>
      </c>
      <c r="B101">
        <v>2.9999999999999997E-4</v>
      </c>
    </row>
    <row r="102" spans="1:8">
      <c r="A102">
        <v>98</v>
      </c>
      <c r="B102">
        <v>1E-4</v>
      </c>
    </row>
    <row r="103" spans="1:8">
      <c r="A103">
        <v>99</v>
      </c>
      <c r="B103">
        <v>0</v>
      </c>
    </row>
    <row r="104" spans="1:8">
      <c r="A104">
        <v>100</v>
      </c>
      <c r="B104">
        <v>0</v>
      </c>
    </row>
    <row r="105" spans="1:8">
      <c r="D105" t="s">
        <v>47</v>
      </c>
    </row>
    <row r="106" spans="1:8">
      <c r="A106" t="s">
        <v>46</v>
      </c>
      <c r="C106" s="5">
        <f t="shared" ref="C106:H106" si="3">SUM(C10:C104)</f>
        <v>71744415</v>
      </c>
      <c r="D106" s="5">
        <f t="shared" si="3"/>
        <v>5548592</v>
      </c>
      <c r="E106" s="5">
        <f t="shared" si="3"/>
        <v>66195823</v>
      </c>
      <c r="F106" s="5">
        <f t="shared" si="3"/>
        <v>71744415</v>
      </c>
      <c r="G106" s="5">
        <f t="shared" si="3"/>
        <v>5548592</v>
      </c>
      <c r="H106" s="5">
        <f t="shared" si="3"/>
        <v>66327933</v>
      </c>
    </row>
    <row r="107" spans="1:8">
      <c r="A107" t="s">
        <v>45</v>
      </c>
      <c r="C107" s="5">
        <v>71796415</v>
      </c>
      <c r="D107" s="5">
        <v>5548582</v>
      </c>
      <c r="E107" s="5">
        <v>66247833</v>
      </c>
      <c r="F107" s="5">
        <v>71796415</v>
      </c>
      <c r="G107" s="5">
        <v>5548582</v>
      </c>
      <c r="H107" s="5">
        <v>66247833</v>
      </c>
    </row>
    <row r="108" spans="1:8">
      <c r="A108" t="s">
        <v>42</v>
      </c>
      <c r="C108" s="5">
        <f t="shared" ref="C108:H108" si="4">C107-C106</f>
        <v>52000</v>
      </c>
      <c r="D108" s="5">
        <f t="shared" si="4"/>
        <v>-10</v>
      </c>
      <c r="E108" s="5">
        <f t="shared" si="4"/>
        <v>52010</v>
      </c>
      <c r="F108" s="5">
        <f t="shared" si="4"/>
        <v>52000</v>
      </c>
      <c r="G108" s="5">
        <f t="shared" si="4"/>
        <v>-10</v>
      </c>
      <c r="H108" s="5">
        <f t="shared" si="4"/>
        <v>-80100</v>
      </c>
    </row>
    <row r="110" spans="1:8">
      <c r="A110" t="s">
        <v>44</v>
      </c>
      <c r="C110" s="5">
        <f t="shared" ref="C110:H110" si="5">SUM(C10:C53)</f>
        <v>42025664</v>
      </c>
      <c r="D110" s="5">
        <f t="shared" si="5"/>
        <v>1949611</v>
      </c>
      <c r="E110" s="5">
        <f t="shared" si="5"/>
        <v>40076053</v>
      </c>
      <c r="F110" s="5">
        <f t="shared" si="5"/>
        <v>42025664</v>
      </c>
      <c r="G110" s="5">
        <f t="shared" si="5"/>
        <v>1949611</v>
      </c>
      <c r="H110" s="5">
        <f t="shared" si="5"/>
        <v>40208053</v>
      </c>
    </row>
    <row r="111" spans="1:8">
      <c r="A111" t="s">
        <v>43</v>
      </c>
      <c r="C111" s="5">
        <v>42077664</v>
      </c>
      <c r="D111" s="5">
        <v>1949611</v>
      </c>
      <c r="E111" s="5">
        <v>40128053</v>
      </c>
      <c r="F111" s="5">
        <v>42077664</v>
      </c>
      <c r="G111" s="5">
        <v>1949611</v>
      </c>
      <c r="H111" s="5">
        <v>40128053</v>
      </c>
    </row>
    <row r="112" spans="1:8">
      <c r="A112" t="s">
        <v>42</v>
      </c>
      <c r="C112" s="5">
        <f t="shared" ref="C112:H112" si="6">C111-C110</f>
        <v>52000</v>
      </c>
      <c r="D112" s="5">
        <f t="shared" si="6"/>
        <v>0</v>
      </c>
      <c r="E112" s="5">
        <f t="shared" si="6"/>
        <v>52000</v>
      </c>
      <c r="F112" s="5">
        <f t="shared" si="6"/>
        <v>52000</v>
      </c>
      <c r="G112" s="5">
        <f t="shared" si="6"/>
        <v>0</v>
      </c>
      <c r="H112" s="5">
        <f t="shared" si="6"/>
        <v>-80000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76"/>
  <sheetViews>
    <sheetView workbookViewId="0">
      <pane xSplit="1" ySplit="3" topLeftCell="C75" activePane="bottomRight" state="frozen"/>
      <selection pane="topRight" activeCell="B1" sqref="B1"/>
      <selection pane="bottomLeft" activeCell="A4" sqref="A4"/>
      <selection pane="bottomRight" activeCell="P90" sqref="P90"/>
    </sheetView>
  </sheetViews>
  <sheetFormatPr defaultRowHeight="12.75"/>
  <sheetData>
    <row r="1" spans="1:25">
      <c r="B1" t="s">
        <v>33</v>
      </c>
      <c r="C1" t="s">
        <v>85</v>
      </c>
      <c r="D1" t="s">
        <v>84</v>
      </c>
      <c r="E1" t="s">
        <v>83</v>
      </c>
      <c r="F1" t="s">
        <v>82</v>
      </c>
      <c r="G1" t="s">
        <v>80</v>
      </c>
      <c r="H1" t="s">
        <v>79</v>
      </c>
      <c r="I1" t="s">
        <v>81</v>
      </c>
      <c r="J1" t="s">
        <v>80</v>
      </c>
      <c r="K1" t="s">
        <v>79</v>
      </c>
      <c r="L1" t="s">
        <v>78</v>
      </c>
      <c r="M1" t="s">
        <v>77</v>
      </c>
      <c r="N1" t="s">
        <v>76</v>
      </c>
      <c r="O1" t="s">
        <v>75</v>
      </c>
      <c r="P1" t="s">
        <v>74</v>
      </c>
      <c r="Q1" t="s">
        <v>75</v>
      </c>
      <c r="R1" t="s">
        <v>74</v>
      </c>
      <c r="S1" t="s">
        <v>73</v>
      </c>
      <c r="T1" t="s">
        <v>72</v>
      </c>
      <c r="U1" t="s">
        <v>71</v>
      </c>
      <c r="V1" t="s">
        <v>70</v>
      </c>
      <c r="W1" t="s">
        <v>69</v>
      </c>
      <c r="X1" t="s">
        <v>68</v>
      </c>
      <c r="Y1" t="s">
        <v>67</v>
      </c>
    </row>
    <row r="2" spans="1:25">
      <c r="E2" t="s">
        <v>66</v>
      </c>
      <c r="F2" t="s">
        <v>65</v>
      </c>
      <c r="I2" t="s">
        <v>64</v>
      </c>
      <c r="O2" t="s">
        <v>63</v>
      </c>
    </row>
    <row r="3" spans="1:25">
      <c r="I3" t="s">
        <v>62</v>
      </c>
      <c r="O3" t="s">
        <v>61</v>
      </c>
    </row>
    <row r="4" spans="1:25">
      <c r="A4">
        <v>1688</v>
      </c>
      <c r="B4" s="2">
        <v>20.938032107360002</v>
      </c>
      <c r="C4">
        <f>117.733*Y4</f>
        <v>222.99056827425957</v>
      </c>
      <c r="D4" s="2">
        <f t="shared" ref="D4:D35" si="0">IF(C4&gt;0,C4/B4,NA())</f>
        <v>10.650025137552223</v>
      </c>
      <c r="Y4">
        <v>1.89403623686018</v>
      </c>
    </row>
    <row r="5" spans="1:25">
      <c r="A5">
        <v>1689</v>
      </c>
      <c r="B5" s="2">
        <v>20.938032107360002</v>
      </c>
      <c r="C5">
        <f>136.807*Y5</f>
        <v>256.57059327803671</v>
      </c>
      <c r="D5" s="2">
        <f t="shared" si="0"/>
        <v>12.253806468653217</v>
      </c>
      <c r="Y5">
        <v>1.8754200682570099</v>
      </c>
    </row>
    <row r="6" spans="1:25">
      <c r="A6">
        <v>1690</v>
      </c>
      <c r="B6" s="2">
        <v>20.938032107360002</v>
      </c>
      <c r="C6">
        <f>141.145*Y6</f>
        <v>235.31385688380499</v>
      </c>
      <c r="D6" s="2">
        <f t="shared" si="0"/>
        <v>11.238585158205435</v>
      </c>
      <c r="Q6">
        <f>11.7*Y6</f>
        <v>19.50598409820056</v>
      </c>
      <c r="R6" s="3">
        <f t="shared" ref="R6:R37" si="1">IF(Q6&gt;0,+Q6/C6,NA())</f>
        <v>8.2893478337879481E-2</v>
      </c>
      <c r="Y6">
        <v>1.66717812805133</v>
      </c>
    </row>
    <row r="7" spans="1:25">
      <c r="A7">
        <v>1691</v>
      </c>
      <c r="B7" s="2">
        <v>20.938032107360002</v>
      </c>
      <c r="C7">
        <f>152.844*Y7</f>
        <v>254.81817380387747</v>
      </c>
      <c r="D7" s="2">
        <f t="shared" si="0"/>
        <v>12.170110949171075</v>
      </c>
      <c r="R7" s="3" t="e">
        <f t="shared" si="1"/>
        <v>#N/A</v>
      </c>
      <c r="Y7">
        <v>1.66717812805133</v>
      </c>
    </row>
    <row r="8" spans="1:25">
      <c r="A8">
        <v>1692</v>
      </c>
      <c r="B8" s="2">
        <v>20.938032107360002</v>
      </c>
      <c r="C8">
        <f>149.27*Y8</f>
        <v>251.99393206054816</v>
      </c>
      <c r="D8" s="2">
        <f t="shared" si="0"/>
        <v>12.035225219277837</v>
      </c>
      <c r="R8" s="3" t="e">
        <f t="shared" si="1"/>
        <v>#N/A</v>
      </c>
      <c r="S8" s="3">
        <v>4.8406713694964701E-2</v>
      </c>
      <c r="Y8">
        <v>1.6881753336943</v>
      </c>
    </row>
    <row r="9" spans="1:25">
      <c r="A9">
        <v>1693</v>
      </c>
      <c r="B9" s="2">
        <v>20.938032107360002</v>
      </c>
      <c r="C9">
        <f>146.48*Y9</f>
        <v>248.96895725442303</v>
      </c>
      <c r="D9" s="2">
        <f t="shared" si="0"/>
        <v>11.890752482269194</v>
      </c>
      <c r="R9" s="3" t="e">
        <f t="shared" si="1"/>
        <v>#N/A</v>
      </c>
      <c r="S9" s="3">
        <v>5.8683584456780298E-2</v>
      </c>
      <c r="Y9">
        <v>1.69967884526504</v>
      </c>
    </row>
    <row r="10" spans="1:25">
      <c r="A10">
        <v>1694</v>
      </c>
      <c r="B10" s="2">
        <v>20.938032107360002</v>
      </c>
      <c r="C10">
        <f>145.967*Y10</f>
        <v>226.68887525987483</v>
      </c>
      <c r="D10" s="2">
        <f t="shared" si="0"/>
        <v>10.826656206157532</v>
      </c>
      <c r="R10" s="3" t="e">
        <f t="shared" si="1"/>
        <v>#N/A</v>
      </c>
      <c r="S10" s="3">
        <v>0.11038961038961</v>
      </c>
      <c r="Y10">
        <v>1.55301455301455</v>
      </c>
    </row>
    <row r="11" spans="1:25">
      <c r="A11">
        <v>1695</v>
      </c>
      <c r="B11" s="2">
        <v>20.938032107360002</v>
      </c>
      <c r="C11">
        <f>156.74*Y11</f>
        <v>243.4195010395006</v>
      </c>
      <c r="D11" s="2">
        <f t="shared" si="0"/>
        <v>11.625710563025422</v>
      </c>
      <c r="R11" s="3" t="e">
        <f t="shared" si="1"/>
        <v>#N/A</v>
      </c>
      <c r="S11" s="3">
        <v>0.14054184808901801</v>
      </c>
      <c r="Y11">
        <v>1.55301455301455</v>
      </c>
    </row>
    <row r="12" spans="1:25">
      <c r="A12">
        <v>1696</v>
      </c>
      <c r="B12" s="2">
        <v>20.938032107360002</v>
      </c>
      <c r="C12">
        <f>156.926*Y12</f>
        <v>243.70836174636125</v>
      </c>
      <c r="D12" s="2">
        <f t="shared" si="0"/>
        <v>11.639506544681172</v>
      </c>
      <c r="R12" s="3" t="e">
        <f t="shared" si="1"/>
        <v>#N/A</v>
      </c>
      <c r="S12" s="3">
        <v>0.134978229317852</v>
      </c>
      <c r="Y12">
        <v>1.55301455301455</v>
      </c>
    </row>
    <row r="13" spans="1:25">
      <c r="A13">
        <v>1697</v>
      </c>
      <c r="B13" s="2">
        <v>20.938032107360002</v>
      </c>
      <c r="C13">
        <f>158.027*Y13</f>
        <v>245.41823076923029</v>
      </c>
      <c r="D13" s="2">
        <f t="shared" si="0"/>
        <v>11.721169855449904</v>
      </c>
      <c r="R13" s="3" t="e">
        <f t="shared" si="1"/>
        <v>#N/A</v>
      </c>
      <c r="S13" s="3">
        <v>0.31655548817465101</v>
      </c>
      <c r="Y13">
        <v>1.55301455301455</v>
      </c>
    </row>
    <row r="14" spans="1:25">
      <c r="A14">
        <v>1698</v>
      </c>
      <c r="B14" s="2">
        <v>20.3499182491088</v>
      </c>
      <c r="C14">
        <f>122.359*Y14</f>
        <v>190.02530769230731</v>
      </c>
      <c r="D14" s="2">
        <f t="shared" si="0"/>
        <v>9.3378904704262986</v>
      </c>
      <c r="R14" s="3" t="e">
        <f t="shared" si="1"/>
        <v>#N/A</v>
      </c>
      <c r="S14" s="3">
        <v>0.32044560943643502</v>
      </c>
      <c r="Y14">
        <v>1.55301455301455</v>
      </c>
    </row>
    <row r="15" spans="1:25">
      <c r="A15">
        <v>1699</v>
      </c>
      <c r="B15" s="2">
        <v>20.3499182491088</v>
      </c>
      <c r="C15">
        <f>128.527*Y15</f>
        <v>199.60430145530106</v>
      </c>
      <c r="D15" s="2">
        <f t="shared" si="0"/>
        <v>9.8086045856249324</v>
      </c>
      <c r="Q15">
        <f>24*Y15</f>
        <v>37.272349272349203</v>
      </c>
      <c r="R15" s="3">
        <f t="shared" si="1"/>
        <v>0.18673119266768853</v>
      </c>
      <c r="S15" s="3">
        <v>0.287374128582494</v>
      </c>
      <c r="Y15">
        <v>1.55301455301455</v>
      </c>
    </row>
    <row r="16" spans="1:25">
      <c r="A16">
        <v>1700</v>
      </c>
      <c r="B16" s="2">
        <v>20.3499182491088</v>
      </c>
      <c r="C16">
        <f>119.241*Y16</f>
        <v>193.73572567544659</v>
      </c>
      <c r="D16" s="2">
        <f t="shared" si="0"/>
        <v>9.5202213249151999</v>
      </c>
      <c r="R16" s="3" t="e">
        <f t="shared" si="1"/>
        <v>#N/A</v>
      </c>
      <c r="S16" s="3">
        <v>0.287983425414365</v>
      </c>
      <c r="Y16">
        <v>1.62474086661003</v>
      </c>
    </row>
    <row r="17" spans="1:25">
      <c r="A17">
        <v>1701</v>
      </c>
      <c r="B17" s="2">
        <v>20.520289657706002</v>
      </c>
      <c r="C17">
        <f>121.254*Y17</f>
        <v>197.12468200675602</v>
      </c>
      <c r="D17" s="2">
        <f t="shared" si="0"/>
        <v>9.6063303829987419</v>
      </c>
      <c r="E17">
        <v>22.87</v>
      </c>
      <c r="R17" s="3" t="e">
        <f t="shared" si="1"/>
        <v>#N/A</v>
      </c>
      <c r="S17" s="3">
        <v>0.31838684001061301</v>
      </c>
      <c r="Y17">
        <v>1.6257169413524999</v>
      </c>
    </row>
    <row r="18" spans="1:25">
      <c r="A18">
        <v>1702</v>
      </c>
      <c r="B18" s="2">
        <v>20.6906610663032</v>
      </c>
      <c r="C18">
        <f>115.294*Y18</f>
        <v>170.95284360267985</v>
      </c>
      <c r="D18" s="2">
        <f t="shared" si="0"/>
        <v>8.262319075009815</v>
      </c>
      <c r="E18">
        <v>16.95</v>
      </c>
      <c r="F18">
        <f>AVERAGEA(E17:E20)</f>
        <v>18.4725</v>
      </c>
      <c r="G18">
        <f>C18/E18*C18/C18</f>
        <v>10.085713486883767</v>
      </c>
      <c r="H18">
        <f t="shared" ref="H18:H49" si="2">D18/F18</f>
        <v>0.44727671268154362</v>
      </c>
      <c r="R18" s="3" t="e">
        <f t="shared" si="1"/>
        <v>#N/A</v>
      </c>
      <c r="S18" s="3">
        <v>0.241117272540563</v>
      </c>
      <c r="Y18">
        <v>1.4827557687536199</v>
      </c>
    </row>
    <row r="19" spans="1:25">
      <c r="A19">
        <v>1703</v>
      </c>
      <c r="B19" s="2">
        <v>20.861032474900401</v>
      </c>
      <c r="C19">
        <f>104.797*Y19</f>
        <v>163.84770017659801</v>
      </c>
      <c r="D19" s="2">
        <f t="shared" si="0"/>
        <v>7.8542469253972191</v>
      </c>
      <c r="E19">
        <v>17.440000000000001</v>
      </c>
      <c r="F19">
        <f t="shared" ref="F19:F50" si="3">AVERAGEA(E17:E21)</f>
        <v>17.872</v>
      </c>
      <c r="G19">
        <f>C19/E19*C19/C19</f>
        <v>9.3949369367315363</v>
      </c>
      <c r="H19">
        <f t="shared" si="2"/>
        <v>0.4394721869626913</v>
      </c>
      <c r="R19" s="3" t="e">
        <f t="shared" si="1"/>
        <v>#N/A</v>
      </c>
      <c r="S19" s="3">
        <v>0.18737637115626701</v>
      </c>
      <c r="Y19">
        <v>1.5634770096147601</v>
      </c>
    </row>
    <row r="20" spans="1:25">
      <c r="A20">
        <v>1704</v>
      </c>
      <c r="B20" s="2">
        <v>21.0314038834976</v>
      </c>
      <c r="D20" s="2" t="e">
        <f t="shared" si="0"/>
        <v>#N/A</v>
      </c>
      <c r="E20">
        <v>16.63</v>
      </c>
      <c r="F20">
        <f t="shared" si="3"/>
        <v>16.029999999999998</v>
      </c>
      <c r="G20" t="e">
        <f>C20/E20*C20/C20</f>
        <v>#DIV/0!</v>
      </c>
      <c r="H20" t="e">
        <f t="shared" si="2"/>
        <v>#N/A</v>
      </c>
      <c r="R20" s="3" t="e">
        <f t="shared" si="1"/>
        <v>#N/A</v>
      </c>
      <c r="S20" s="3">
        <v>0.18112717834631101</v>
      </c>
      <c r="Y20">
        <v>1.4747059307394901</v>
      </c>
    </row>
    <row r="21" spans="1:25">
      <c r="A21">
        <v>1705</v>
      </c>
      <c r="B21" s="2">
        <v>21.201775292094801</v>
      </c>
      <c r="C21">
        <f>78.35*Y21</f>
        <v>111.6092964125386</v>
      </c>
      <c r="D21" s="2">
        <f t="shared" si="0"/>
        <v>5.2641486325983626</v>
      </c>
      <c r="E21">
        <v>15.47</v>
      </c>
      <c r="F21">
        <f t="shared" si="3"/>
        <v>15.14</v>
      </c>
      <c r="G21">
        <f>C22/E21*C22/C22</f>
        <v>14.006618735451529</v>
      </c>
      <c r="H21">
        <f t="shared" si="2"/>
        <v>0.34769806027730266</v>
      </c>
      <c r="R21" s="3" t="e">
        <f t="shared" si="1"/>
        <v>#N/A</v>
      </c>
      <c r="S21" s="3">
        <v>0.19576719576719601</v>
      </c>
      <c r="Y21">
        <v>1.4244964443208501</v>
      </c>
    </row>
    <row r="22" spans="1:25">
      <c r="A22">
        <v>1706</v>
      </c>
      <c r="B22" s="2">
        <v>21.220705448605599</v>
      </c>
      <c r="C22">
        <f>140.962*Y22</f>
        <v>216.68239183743515</v>
      </c>
      <c r="D22" s="2">
        <f t="shared" si="0"/>
        <v>10.210894843350895</v>
      </c>
      <c r="E22">
        <v>13.66</v>
      </c>
      <c r="F22">
        <f t="shared" si="3"/>
        <v>15.526000000000002</v>
      </c>
      <c r="G22">
        <f t="shared" ref="G22:G40" si="4">C22/E22*C22/C22</f>
        <v>15.862546986635076</v>
      </c>
      <c r="H22">
        <f t="shared" si="2"/>
        <v>0.65766423053915324</v>
      </c>
      <c r="R22" s="3" t="e">
        <f t="shared" si="1"/>
        <v>#N/A</v>
      </c>
      <c r="S22" s="3">
        <v>0.20401211203633601</v>
      </c>
      <c r="Y22">
        <v>1.5371688244877</v>
      </c>
    </row>
    <row r="23" spans="1:25">
      <c r="A23">
        <v>1707</v>
      </c>
      <c r="B23" s="2">
        <v>21.239635605116401</v>
      </c>
      <c r="C23">
        <f>145.51*Y23</f>
        <v>198.12999003161335</v>
      </c>
      <c r="D23" s="2">
        <f t="shared" si="0"/>
        <v>9.3283139934795276</v>
      </c>
      <c r="E23">
        <v>12.5</v>
      </c>
      <c r="F23">
        <f t="shared" si="3"/>
        <v>20.842000000000002</v>
      </c>
      <c r="G23">
        <f t="shared" si="4"/>
        <v>15.850399202529069</v>
      </c>
      <c r="H23">
        <f t="shared" si="2"/>
        <v>0.44757288136836804</v>
      </c>
      <c r="R23" s="3" t="e">
        <f t="shared" si="1"/>
        <v>#N/A</v>
      </c>
      <c r="S23" s="3">
        <v>0.337415463352221</v>
      </c>
      <c r="Y23">
        <v>1.3616245621030401</v>
      </c>
    </row>
    <row r="24" spans="1:25">
      <c r="A24">
        <v>1708</v>
      </c>
      <c r="B24" s="2">
        <v>21.258565761627199</v>
      </c>
      <c r="C24">
        <f>119.723*Y24</f>
        <v>161.8318433173207</v>
      </c>
      <c r="D24" s="2">
        <f t="shared" si="0"/>
        <v>7.6125475787945902</v>
      </c>
      <c r="E24">
        <v>19.37</v>
      </c>
      <c r="F24">
        <f t="shared" si="3"/>
        <v>23.938000000000002</v>
      </c>
      <c r="G24">
        <f t="shared" si="4"/>
        <v>8.3547673369809345</v>
      </c>
      <c r="H24">
        <f t="shared" si="2"/>
        <v>0.31801101089458556</v>
      </c>
      <c r="R24" s="3" t="e">
        <f t="shared" si="1"/>
        <v>#N/A</v>
      </c>
      <c r="S24" s="3">
        <v>0.31432411674347199</v>
      </c>
      <c r="Y24">
        <v>1.3517189121331801</v>
      </c>
    </row>
    <row r="25" spans="1:25">
      <c r="A25">
        <v>1709</v>
      </c>
      <c r="B25" s="2">
        <v>21.277495918138001</v>
      </c>
      <c r="C25">
        <f>116.803*Y25</f>
        <v>159.0131508846535</v>
      </c>
      <c r="D25" s="2">
        <f t="shared" si="0"/>
        <v>7.4733019099819327</v>
      </c>
      <c r="E25">
        <v>43.21</v>
      </c>
      <c r="F25">
        <f t="shared" si="3"/>
        <v>25.021999999999998</v>
      </c>
      <c r="G25">
        <f t="shared" si="4"/>
        <v>3.680008120450208</v>
      </c>
      <c r="H25">
        <f t="shared" si="2"/>
        <v>0.29866924746151119</v>
      </c>
      <c r="R25" s="3" t="e">
        <f t="shared" si="1"/>
        <v>#N/A</v>
      </c>
      <c r="S25" s="3">
        <v>0.386861313868613</v>
      </c>
      <c r="Y25">
        <v>1.36137899612727</v>
      </c>
    </row>
    <row r="26" spans="1:25">
      <c r="A26">
        <v>1710</v>
      </c>
      <c r="B26" s="2">
        <v>21.296426074648799</v>
      </c>
      <c r="C26">
        <f>96.192*Y26</f>
        <v>119.75904</v>
      </c>
      <c r="D26" s="2">
        <f t="shared" si="0"/>
        <v>5.6234336963496796</v>
      </c>
      <c r="E26">
        <v>30.95</v>
      </c>
      <c r="F26">
        <f t="shared" si="3"/>
        <v>27.47</v>
      </c>
      <c r="G26">
        <f t="shared" si="4"/>
        <v>3.8694358642972535</v>
      </c>
      <c r="H26">
        <f t="shared" si="2"/>
        <v>0.20471182003457153</v>
      </c>
      <c r="R26" s="3" t="e">
        <f t="shared" si="1"/>
        <v>#N/A</v>
      </c>
      <c r="S26" s="3">
        <v>0.33422256097560998</v>
      </c>
      <c r="Y26">
        <v>1.2450000000000001</v>
      </c>
    </row>
    <row r="27" spans="1:25">
      <c r="A27">
        <v>1711</v>
      </c>
      <c r="B27" s="2">
        <v>21.3626816224366</v>
      </c>
      <c r="C27">
        <f>102.113*Y27</f>
        <v>127.13068500000001</v>
      </c>
      <c r="D27" s="2">
        <f t="shared" si="0"/>
        <v>5.9510639744065825</v>
      </c>
      <c r="E27">
        <v>19.079999999999998</v>
      </c>
      <c r="F27">
        <f t="shared" si="3"/>
        <v>29.817999999999994</v>
      </c>
      <c r="G27">
        <f t="shared" si="4"/>
        <v>6.6630338050314482</v>
      </c>
      <c r="H27">
        <f t="shared" si="2"/>
        <v>0.19957958194401312</v>
      </c>
      <c r="R27" s="3" t="e">
        <f t="shared" si="1"/>
        <v>#N/A</v>
      </c>
      <c r="S27" s="3">
        <v>0.35006758061401799</v>
      </c>
      <c r="Y27">
        <v>1.2450000000000001</v>
      </c>
    </row>
    <row r="28" spans="1:25">
      <c r="A28">
        <v>1712</v>
      </c>
      <c r="B28" s="2">
        <v>21.428937170224401</v>
      </c>
      <c r="C28">
        <f>112.615*Y28</f>
        <v>140.20567500000001</v>
      </c>
      <c r="D28" s="2">
        <f t="shared" si="0"/>
        <v>6.5428198275188558</v>
      </c>
      <c r="E28">
        <v>24.74</v>
      </c>
      <c r="F28">
        <f t="shared" si="3"/>
        <v>26.630000000000003</v>
      </c>
      <c r="G28">
        <f t="shared" si="4"/>
        <v>5.6671655214227981</v>
      </c>
      <c r="H28">
        <f t="shared" si="2"/>
        <v>0.24569357219372345</v>
      </c>
      <c r="Q28">
        <f>65.4*Y28</f>
        <v>81.423000000000016</v>
      </c>
      <c r="R28" s="3">
        <f t="shared" si="1"/>
        <v>0.58073968831860767</v>
      </c>
      <c r="S28" s="3">
        <v>0.410577592205985</v>
      </c>
      <c r="Y28">
        <v>1.2450000000000001</v>
      </c>
    </row>
    <row r="29" spans="1:25">
      <c r="A29">
        <v>1713</v>
      </c>
      <c r="B29" s="2">
        <v>21.495192718012198</v>
      </c>
      <c r="C29">
        <f>115.005*Y29</f>
        <v>143.48014196242158</v>
      </c>
      <c r="D29" s="2">
        <f t="shared" si="0"/>
        <v>6.6749874655550485</v>
      </c>
      <c r="E29">
        <v>31.11</v>
      </c>
      <c r="F29">
        <f t="shared" si="3"/>
        <v>23.826000000000001</v>
      </c>
      <c r="G29">
        <f t="shared" si="4"/>
        <v>4.6120264211643072</v>
      </c>
      <c r="H29">
        <f t="shared" si="2"/>
        <v>0.2801556058740472</v>
      </c>
      <c r="R29" s="3" t="e">
        <f t="shared" si="1"/>
        <v>#N/A</v>
      </c>
      <c r="S29" s="3">
        <v>0.49965397923875399</v>
      </c>
      <c r="Y29">
        <v>1.24759916492693</v>
      </c>
    </row>
    <row r="30" spans="1:25">
      <c r="A30">
        <v>1714</v>
      </c>
      <c r="B30" s="2">
        <v>21.561448265799999</v>
      </c>
      <c r="C30">
        <f>118.396*Y30</f>
        <v>162.65160827586257</v>
      </c>
      <c r="D30" s="2">
        <f t="shared" si="0"/>
        <v>7.5436309412413056</v>
      </c>
      <c r="E30">
        <v>27.27</v>
      </c>
      <c r="F30">
        <f t="shared" si="3"/>
        <v>22.707999999999995</v>
      </c>
      <c r="G30">
        <f t="shared" si="4"/>
        <v>5.9644887523235264</v>
      </c>
      <c r="H30">
        <f t="shared" si="2"/>
        <v>0.33220146825970176</v>
      </c>
      <c r="R30" s="3" t="e">
        <f t="shared" si="1"/>
        <v>#N/A</v>
      </c>
      <c r="S30" s="3">
        <v>0.56351426972579699</v>
      </c>
      <c r="Y30">
        <v>1.37379310344828</v>
      </c>
    </row>
    <row r="31" spans="1:25">
      <c r="A31">
        <v>1715</v>
      </c>
      <c r="B31" s="2">
        <v>21.6277038135878</v>
      </c>
      <c r="C31">
        <f>165.827*Y31</f>
        <v>262.89049511713853</v>
      </c>
      <c r="D31" s="2">
        <f t="shared" si="0"/>
        <v>12.15526610605677</v>
      </c>
      <c r="E31">
        <v>16.93</v>
      </c>
      <c r="F31">
        <f t="shared" si="3"/>
        <v>20.163999999999998</v>
      </c>
      <c r="G31">
        <f t="shared" si="4"/>
        <v>15.528085949033581</v>
      </c>
      <c r="H31">
        <f t="shared" si="2"/>
        <v>0.60282017982824687</v>
      </c>
      <c r="Q31">
        <f>85*Y31</f>
        <v>134.75303831678059</v>
      </c>
      <c r="R31" s="3">
        <f t="shared" si="1"/>
        <v>0.51258239008122919</v>
      </c>
      <c r="S31" s="3">
        <v>0.59058950784207698</v>
      </c>
      <c r="Y31">
        <v>1.58532986255036</v>
      </c>
    </row>
    <row r="32" spans="1:25">
      <c r="A32">
        <v>1716</v>
      </c>
      <c r="B32" s="2">
        <v>21.693959361375601</v>
      </c>
      <c r="D32" s="2" t="e">
        <f t="shared" si="0"/>
        <v>#N/A</v>
      </c>
      <c r="E32">
        <v>13.49</v>
      </c>
      <c r="F32">
        <f t="shared" si="3"/>
        <v>16.136000000000003</v>
      </c>
      <c r="G32" t="e">
        <f t="shared" si="4"/>
        <v>#DIV/0!</v>
      </c>
      <c r="H32" t="e">
        <f t="shared" si="2"/>
        <v>#N/A</v>
      </c>
      <c r="R32" s="3" t="e">
        <f t="shared" si="1"/>
        <v>#N/A</v>
      </c>
      <c r="S32" s="3">
        <v>0.54227875313507701</v>
      </c>
      <c r="Y32">
        <v>1.2456812319237101</v>
      </c>
    </row>
    <row r="33" spans="1:25">
      <c r="A33">
        <v>1717</v>
      </c>
      <c r="B33" s="2">
        <v>21.760214909163299</v>
      </c>
      <c r="D33" s="2" t="e">
        <f t="shared" si="0"/>
        <v>#N/A</v>
      </c>
      <c r="E33">
        <v>12.02</v>
      </c>
      <c r="F33">
        <f t="shared" si="3"/>
        <v>13.132</v>
      </c>
      <c r="G33" t="e">
        <f t="shared" si="4"/>
        <v>#DIV/0!</v>
      </c>
      <c r="H33" t="e">
        <f t="shared" si="2"/>
        <v>#N/A</v>
      </c>
      <c r="R33" s="3" t="e">
        <f t="shared" si="1"/>
        <v>#N/A</v>
      </c>
      <c r="S33" s="3">
        <v>0.52809333742707998</v>
      </c>
      <c r="Y33">
        <v>1.2456812319237101</v>
      </c>
    </row>
    <row r="34" spans="1:25">
      <c r="A34">
        <v>1718</v>
      </c>
      <c r="B34" s="2">
        <v>21.8264704569511</v>
      </c>
      <c r="D34" s="2" t="e">
        <f t="shared" si="0"/>
        <v>#N/A</v>
      </c>
      <c r="E34">
        <v>10.97</v>
      </c>
      <c r="F34">
        <f t="shared" si="3"/>
        <v>12.208</v>
      </c>
      <c r="G34" t="e">
        <f t="shared" si="4"/>
        <v>#DIV/0!</v>
      </c>
      <c r="H34" t="e">
        <f t="shared" si="2"/>
        <v>#N/A</v>
      </c>
      <c r="R34" s="3" t="e">
        <f t="shared" si="1"/>
        <v>#N/A</v>
      </c>
      <c r="S34" s="3">
        <v>0.466174055829228</v>
      </c>
      <c r="Y34">
        <v>0.93387767858887005</v>
      </c>
    </row>
    <row r="35" spans="1:25">
      <c r="A35">
        <v>1719</v>
      </c>
      <c r="B35" s="2">
        <v>21.892726004738901</v>
      </c>
      <c r="D35" s="2" t="e">
        <f t="shared" si="0"/>
        <v>#N/A</v>
      </c>
      <c r="E35">
        <v>12.25</v>
      </c>
      <c r="F35">
        <f t="shared" si="3"/>
        <v>11.48</v>
      </c>
      <c r="G35" t="e">
        <f t="shared" si="4"/>
        <v>#DIV/0!</v>
      </c>
      <c r="H35" t="e">
        <f t="shared" si="2"/>
        <v>#N/A</v>
      </c>
      <c r="R35" s="3" t="e">
        <f t="shared" si="1"/>
        <v>#N/A</v>
      </c>
      <c r="S35" s="3">
        <v>0.44905409890474601</v>
      </c>
      <c r="Y35">
        <v>0.83932584269662902</v>
      </c>
    </row>
    <row r="36" spans="1:25">
      <c r="A36">
        <v>1720</v>
      </c>
      <c r="B36" s="2">
        <v>21.958981552526701</v>
      </c>
      <c r="D36" s="2" t="e">
        <f t="shared" ref="D36:D67" si="5">IF(C36&gt;0,C36/B36,NA())</f>
        <v>#N/A</v>
      </c>
      <c r="E36">
        <v>12.31</v>
      </c>
      <c r="F36">
        <f t="shared" si="3"/>
        <v>11.238000000000001</v>
      </c>
      <c r="G36" t="e">
        <f t="shared" si="4"/>
        <v>#DIV/0!</v>
      </c>
      <c r="H36" t="e">
        <f t="shared" si="2"/>
        <v>#N/A</v>
      </c>
      <c r="R36" s="3" t="e">
        <f t="shared" si="1"/>
        <v>#N/A</v>
      </c>
      <c r="S36" s="3">
        <v>0.43792503558437501</v>
      </c>
      <c r="Y36">
        <v>0.62344436668390901</v>
      </c>
    </row>
    <row r="37" spans="1:25">
      <c r="A37">
        <v>1721</v>
      </c>
      <c r="B37" s="2">
        <v>22.0536323350807</v>
      </c>
      <c r="D37" s="2" t="e">
        <f t="shared" si="5"/>
        <v>#N/A</v>
      </c>
      <c r="E37">
        <v>9.85</v>
      </c>
      <c r="F37">
        <f t="shared" si="3"/>
        <v>11.682</v>
      </c>
      <c r="G37" t="e">
        <f t="shared" si="4"/>
        <v>#DIV/0!</v>
      </c>
      <c r="H37" t="e">
        <f t="shared" si="2"/>
        <v>#N/A</v>
      </c>
      <c r="R37" s="3" t="e">
        <f t="shared" si="1"/>
        <v>#N/A</v>
      </c>
      <c r="S37" s="3">
        <v>0.55660060463553895</v>
      </c>
      <c r="Y37">
        <v>0.79047619047619</v>
      </c>
    </row>
    <row r="38" spans="1:25">
      <c r="A38">
        <v>1722</v>
      </c>
      <c r="B38" s="2">
        <v>22.148283117634701</v>
      </c>
      <c r="C38">
        <v>202.5</v>
      </c>
      <c r="D38" s="2">
        <f t="shared" si="5"/>
        <v>9.1429208722172834</v>
      </c>
      <c r="E38">
        <v>10.81</v>
      </c>
      <c r="F38">
        <f t="shared" si="3"/>
        <v>13.622</v>
      </c>
      <c r="G38">
        <f t="shared" si="4"/>
        <v>18.732654949121184</v>
      </c>
      <c r="H38">
        <f t="shared" si="2"/>
        <v>0.67118784849635027</v>
      </c>
      <c r="Q38">
        <v>76.209999999999994</v>
      </c>
      <c r="R38" s="3">
        <f t="shared" ref="R38:R69" si="6">IF(Q38&gt;0,+Q38/C38,NA())</f>
        <v>0.37634567901234567</v>
      </c>
      <c r="S38" s="3">
        <v>0.48975609756097599</v>
      </c>
      <c r="Y38">
        <v>0.79047619047619</v>
      </c>
    </row>
    <row r="39" spans="1:25">
      <c r="A39">
        <v>1723</v>
      </c>
      <c r="B39" s="2">
        <v>22.242933900188699</v>
      </c>
      <c r="D39" s="2" t="e">
        <f t="shared" si="5"/>
        <v>#N/A</v>
      </c>
      <c r="E39">
        <v>13.19</v>
      </c>
      <c r="F39">
        <f t="shared" si="3"/>
        <v>15.827999999999999</v>
      </c>
      <c r="G39" t="e">
        <f t="shared" si="4"/>
        <v>#DIV/0!</v>
      </c>
      <c r="H39" t="e">
        <f t="shared" si="2"/>
        <v>#N/A</v>
      </c>
      <c r="R39" s="3" t="e">
        <f t="shared" si="6"/>
        <v>#N/A</v>
      </c>
      <c r="S39" s="3">
        <v>0.48706824628733503</v>
      </c>
      <c r="Y39">
        <v>0.76030534351144996</v>
      </c>
    </row>
    <row r="40" spans="1:25">
      <c r="A40">
        <v>1724</v>
      </c>
      <c r="B40" s="2">
        <v>22.337584682742701</v>
      </c>
      <c r="D40" s="2" t="e">
        <f t="shared" si="5"/>
        <v>#N/A</v>
      </c>
      <c r="E40">
        <v>21.95</v>
      </c>
      <c r="F40">
        <f t="shared" si="3"/>
        <v>17.396000000000001</v>
      </c>
      <c r="G40" t="e">
        <f t="shared" si="4"/>
        <v>#DIV/0!</v>
      </c>
      <c r="H40" t="e">
        <f t="shared" si="2"/>
        <v>#N/A</v>
      </c>
      <c r="R40" s="3" t="e">
        <f t="shared" si="6"/>
        <v>#N/A</v>
      </c>
      <c r="S40" s="3">
        <v>0.496102546336394</v>
      </c>
      <c r="Y40">
        <v>0.98532563891178904</v>
      </c>
    </row>
    <row r="41" spans="1:25">
      <c r="A41">
        <v>1725</v>
      </c>
      <c r="B41" s="2">
        <v>22.432235465296699</v>
      </c>
      <c r="C41">
        <v>204</v>
      </c>
      <c r="D41" s="2">
        <f t="shared" si="5"/>
        <v>9.0940557536315882</v>
      </c>
      <c r="E41">
        <v>23.34</v>
      </c>
      <c r="F41">
        <f t="shared" si="3"/>
        <v>18.114000000000001</v>
      </c>
      <c r="G41">
        <f t="shared" ref="G41:G72" si="7">C41/F41*C41/C41</f>
        <v>11.262007287181186</v>
      </c>
      <c r="H41">
        <f t="shared" si="2"/>
        <v>0.50204569689917122</v>
      </c>
      <c r="Q41">
        <v>73.900000000000006</v>
      </c>
      <c r="R41" s="3">
        <f t="shared" si="6"/>
        <v>0.36225490196078436</v>
      </c>
      <c r="S41" s="3">
        <v>0.46912751677852299</v>
      </c>
      <c r="U41">
        <v>44.5</v>
      </c>
      <c r="V41">
        <v>16.5</v>
      </c>
      <c r="Y41">
        <v>1.2</v>
      </c>
    </row>
    <row r="42" spans="1:25">
      <c r="A42">
        <v>1726</v>
      </c>
      <c r="B42" s="2">
        <v>22.526886247850701</v>
      </c>
      <c r="C42">
        <f>200</f>
        <v>200</v>
      </c>
      <c r="D42" s="2">
        <f t="shared" si="5"/>
        <v>8.8782798385676625</v>
      </c>
      <c r="E42">
        <v>17.690000000000001</v>
      </c>
      <c r="F42">
        <f t="shared" si="3"/>
        <v>18.032000000000004</v>
      </c>
      <c r="G42">
        <f t="shared" si="7"/>
        <v>11.091393078970716</v>
      </c>
      <c r="H42">
        <f t="shared" si="2"/>
        <v>0.49236245777327309</v>
      </c>
      <c r="I42">
        <v>0.48983333333333301</v>
      </c>
      <c r="J42" s="2" t="e">
        <f>IF(#REF!,+C42/I42&gt;0,LOTUS_ERR(+C42/I42))</f>
        <v>#REF!</v>
      </c>
      <c r="K42">
        <v>1</v>
      </c>
      <c r="Q42">
        <f>Q41-14.5</f>
        <v>59.400000000000006</v>
      </c>
      <c r="R42" s="3">
        <f t="shared" si="6"/>
        <v>0.29700000000000004</v>
      </c>
      <c r="S42" s="3">
        <v>0.48332729249728201</v>
      </c>
      <c r="Y42">
        <v>1.07462686567164</v>
      </c>
    </row>
    <row r="43" spans="1:25">
      <c r="A43">
        <v>1727</v>
      </c>
      <c r="B43" s="2">
        <v>22.621537030404699</v>
      </c>
      <c r="C43">
        <v>199.4</v>
      </c>
      <c r="D43" s="2">
        <f t="shared" si="5"/>
        <v>8.8146088275078078</v>
      </c>
      <c r="E43">
        <v>14.4</v>
      </c>
      <c r="F43">
        <f t="shared" si="3"/>
        <v>16.466000000000001</v>
      </c>
      <c r="G43">
        <f t="shared" si="7"/>
        <v>12.109802016275962</v>
      </c>
      <c r="H43">
        <f t="shared" si="2"/>
        <v>0.5353218041727078</v>
      </c>
      <c r="I43">
        <v>0.49</v>
      </c>
      <c r="J43" s="2" t="e">
        <f>IF(#REF!,+C43/I43&gt;0,LOTUS_ERR(+C43/I43))</f>
        <v>#REF!</v>
      </c>
      <c r="K43">
        <f t="shared" ref="K43:K74" si="8">D43/I43*I$42/D$42</f>
        <v>0.99249075513050311</v>
      </c>
      <c r="R43" s="3" t="e">
        <f t="shared" si="6"/>
        <v>#N/A</v>
      </c>
      <c r="S43" s="3">
        <v>0.456005243322956</v>
      </c>
      <c r="Y43">
        <v>1</v>
      </c>
    </row>
    <row r="44" spans="1:25">
      <c r="A44">
        <v>1728</v>
      </c>
      <c r="B44" s="2">
        <v>22.716187812958701</v>
      </c>
      <c r="C44">
        <v>195.8</v>
      </c>
      <c r="D44" s="2">
        <f t="shared" si="5"/>
        <v>8.6194039956080886</v>
      </c>
      <c r="E44">
        <v>12.78</v>
      </c>
      <c r="F44">
        <f t="shared" si="3"/>
        <v>14.63</v>
      </c>
      <c r="G44">
        <f t="shared" si="7"/>
        <v>13.383458646616543</v>
      </c>
      <c r="H44">
        <f t="shared" si="2"/>
        <v>0.58915953490144146</v>
      </c>
      <c r="I44">
        <v>0.49162499999999998</v>
      </c>
      <c r="J44" s="2" t="e">
        <f>IF(#REF!,+C44/I44&gt;0,LOTUS_ERR(+C44/I44))</f>
        <v>#REF!</v>
      </c>
      <c r="K44">
        <f t="shared" si="8"/>
        <v>0.96730355397349954</v>
      </c>
      <c r="R44" s="3" t="e">
        <f t="shared" si="6"/>
        <v>#N/A</v>
      </c>
      <c r="S44" s="3">
        <v>0.34638777629431799</v>
      </c>
      <c r="Y44">
        <v>1</v>
      </c>
    </row>
    <row r="45" spans="1:25">
      <c r="A45">
        <v>1729</v>
      </c>
      <c r="B45" s="2">
        <v>22.810838595512699</v>
      </c>
      <c r="C45">
        <v>195.5</v>
      </c>
      <c r="D45" s="2">
        <f t="shared" si="5"/>
        <v>8.5704871910521678</v>
      </c>
      <c r="E45">
        <v>14.12</v>
      </c>
      <c r="F45">
        <f t="shared" si="3"/>
        <v>14.02</v>
      </c>
      <c r="G45">
        <f t="shared" si="7"/>
        <v>13.944365192582026</v>
      </c>
      <c r="H45">
        <f t="shared" si="2"/>
        <v>0.61130436455436288</v>
      </c>
      <c r="I45">
        <v>0.49777777777777799</v>
      </c>
      <c r="J45" s="2" t="e">
        <f>IF(#REF!,+C45/I45&gt;0,LOTUS_ERR(+C45/I45))</f>
        <v>#REF!</v>
      </c>
      <c r="K45">
        <f t="shared" si="8"/>
        <v>0.94992542466286123</v>
      </c>
      <c r="R45" s="3" t="e">
        <f t="shared" si="6"/>
        <v>#N/A</v>
      </c>
      <c r="S45" s="3">
        <v>0.36288528757546901</v>
      </c>
    </row>
    <row r="46" spans="1:25">
      <c r="A46">
        <v>1730</v>
      </c>
      <c r="B46" s="2">
        <v>22.905489378066701</v>
      </c>
      <c r="C46">
        <v>195.7</v>
      </c>
      <c r="D46" s="2">
        <f t="shared" si="5"/>
        <v>8.5438034861369871</v>
      </c>
      <c r="E46">
        <v>14.16</v>
      </c>
      <c r="F46">
        <f t="shared" si="3"/>
        <v>13.725999999999999</v>
      </c>
      <c r="G46">
        <f t="shared" si="7"/>
        <v>14.25761328864928</v>
      </c>
      <c r="H46">
        <f t="shared" si="2"/>
        <v>0.6224539914131566</v>
      </c>
      <c r="I46">
        <v>0.50270000000000004</v>
      </c>
      <c r="J46" s="2" t="e">
        <f>IF(#REF!,+C46/I46&gt;0,LOTUS_ERR(+C46/I46))</f>
        <v>#REF!</v>
      </c>
      <c r="K46">
        <f t="shared" si="8"/>
        <v>0.9376955857104402</v>
      </c>
      <c r="R46" s="3" t="e">
        <f t="shared" si="6"/>
        <v>#N/A</v>
      </c>
      <c r="S46" s="3">
        <v>0.36392657621707902</v>
      </c>
    </row>
    <row r="47" spans="1:25">
      <c r="A47">
        <v>1731</v>
      </c>
      <c r="B47" s="2">
        <v>22.943349691088301</v>
      </c>
      <c r="C47">
        <v>205</v>
      </c>
      <c r="D47" s="2">
        <f t="shared" si="5"/>
        <v>8.9350510174033779</v>
      </c>
      <c r="E47">
        <v>14.64</v>
      </c>
      <c r="F47">
        <f t="shared" si="3"/>
        <v>13.690000000000001</v>
      </c>
      <c r="G47">
        <f t="shared" si="7"/>
        <v>14.974433893352813</v>
      </c>
      <c r="H47">
        <f t="shared" si="2"/>
        <v>0.65266990631142274</v>
      </c>
      <c r="I47">
        <v>0.50449999999999995</v>
      </c>
      <c r="J47" s="2" t="e">
        <f>IF(#REF!,+C47/I47&gt;0,LOTUS_ERR(+C47/I47))</f>
        <v>#REF!</v>
      </c>
      <c r="K47">
        <f t="shared" si="8"/>
        <v>0.97713680560325444</v>
      </c>
      <c r="R47" s="3" t="e">
        <f t="shared" si="6"/>
        <v>#N/A</v>
      </c>
      <c r="S47" s="3">
        <v>0.34868421052631599</v>
      </c>
    </row>
    <row r="48" spans="1:25">
      <c r="A48">
        <v>1732</v>
      </c>
      <c r="B48" s="2">
        <v>22.981210004109901</v>
      </c>
      <c r="C48">
        <v>195.6</v>
      </c>
      <c r="D48" s="2">
        <f t="shared" si="5"/>
        <v>8.5113011875797397</v>
      </c>
      <c r="E48">
        <v>12.93</v>
      </c>
      <c r="F48">
        <f t="shared" si="3"/>
        <v>13.442000000000002</v>
      </c>
      <c r="G48">
        <f t="shared" si="7"/>
        <v>14.551406040767743</v>
      </c>
      <c r="H48">
        <f t="shared" si="2"/>
        <v>0.6331871140886578</v>
      </c>
      <c r="I48">
        <v>0.50790000000000002</v>
      </c>
      <c r="J48" s="2" t="e">
        <f>IF(#REF!,+C48/I48&gt;0,LOTUS_ERR(+C48/I48))</f>
        <v>#REF!</v>
      </c>
      <c r="K48">
        <f t="shared" si="8"/>
        <v>0.92456458142566378</v>
      </c>
      <c r="R48" s="3" t="e">
        <f t="shared" si="6"/>
        <v>#N/A</v>
      </c>
      <c r="S48" s="3">
        <v>0.38204377046355298</v>
      </c>
    </row>
    <row r="49" spans="1:22">
      <c r="A49">
        <v>1733</v>
      </c>
      <c r="B49" s="2">
        <v>23.019070317131501</v>
      </c>
      <c r="C49">
        <v>198.9</v>
      </c>
      <c r="D49" s="2">
        <f t="shared" si="5"/>
        <v>8.6406617321974331</v>
      </c>
      <c r="E49">
        <v>12.6</v>
      </c>
      <c r="F49">
        <f t="shared" si="3"/>
        <v>13.142000000000001</v>
      </c>
      <c r="G49">
        <f t="shared" si="7"/>
        <v>15.13468269669761</v>
      </c>
      <c r="H49">
        <f t="shared" si="2"/>
        <v>0.65748453296282394</v>
      </c>
      <c r="I49">
        <v>0.51500000000000001</v>
      </c>
      <c r="J49" s="2" t="e">
        <f>IF(#REF!,+C49/I49&gt;0,LOTUS_ERR(+C49/I49))</f>
        <v>#REF!</v>
      </c>
      <c r="K49">
        <f t="shared" si="8"/>
        <v>0.92567658964614019</v>
      </c>
      <c r="R49" s="3" t="e">
        <f t="shared" si="6"/>
        <v>#N/A</v>
      </c>
      <c r="S49" s="3">
        <v>0.38808402752625898</v>
      </c>
    </row>
    <row r="50" spans="1:22">
      <c r="A50">
        <v>1734</v>
      </c>
      <c r="B50" s="2">
        <v>23.056930630153101</v>
      </c>
      <c r="C50">
        <v>239.1</v>
      </c>
      <c r="D50" s="2">
        <f t="shared" si="5"/>
        <v>10.369983925237335</v>
      </c>
      <c r="E50">
        <v>12.88</v>
      </c>
      <c r="F50">
        <f t="shared" si="3"/>
        <v>13.034000000000001</v>
      </c>
      <c r="G50">
        <f t="shared" si="7"/>
        <v>18.34433021328832</v>
      </c>
      <c r="H50">
        <f t="shared" ref="H50:H81" si="9">D50/F50</f>
        <v>0.7956102443791111</v>
      </c>
      <c r="I50">
        <v>0.52180000000000004</v>
      </c>
      <c r="J50" s="2" t="e">
        <f>IF(#REF!,+C50/I50&gt;0,LOTUS_ERR(+C50/I50))</f>
        <v>#REF!</v>
      </c>
      <c r="K50">
        <f t="shared" si="8"/>
        <v>1.0964618220307223</v>
      </c>
      <c r="Q50">
        <v>67.5</v>
      </c>
      <c r="R50" s="3">
        <f t="shared" si="6"/>
        <v>0.2823086574654956</v>
      </c>
      <c r="S50" s="3">
        <v>0.376651982378855</v>
      </c>
      <c r="U50">
        <v>30.5</v>
      </c>
      <c r="V50">
        <v>29</v>
      </c>
    </row>
    <row r="51" spans="1:22">
      <c r="A51">
        <v>1735</v>
      </c>
      <c r="B51" s="2">
        <v>23.094790943174701</v>
      </c>
      <c r="C51">
        <v>245.2</v>
      </c>
      <c r="D51" s="2">
        <f t="shared" si="5"/>
        <v>10.617112776786792</v>
      </c>
      <c r="E51">
        <v>12.66</v>
      </c>
      <c r="F51">
        <f t="shared" ref="F51:F82" si="10">AVERAGEA(E49:E53)</f>
        <v>13.39</v>
      </c>
      <c r="G51">
        <f t="shared" si="7"/>
        <v>18.312173263629571</v>
      </c>
      <c r="H51">
        <f t="shared" si="9"/>
        <v>0.79291357556286712</v>
      </c>
      <c r="I51">
        <v>0.52790000000000004</v>
      </c>
      <c r="J51" s="2" t="e">
        <f>IF(#REF!,+C51/I51&gt;0,LOTUS_ERR(+C51/I51))</f>
        <v>#REF!</v>
      </c>
      <c r="K51">
        <f t="shared" si="8"/>
        <v>1.1096199965426448</v>
      </c>
      <c r="R51" s="3" t="e">
        <f t="shared" si="6"/>
        <v>#N/A</v>
      </c>
      <c r="S51" s="3">
        <v>0.38464260438782699</v>
      </c>
    </row>
    <row r="52" spans="1:22">
      <c r="A52">
        <v>1736</v>
      </c>
      <c r="B52" s="2">
        <v>23.135301478107799</v>
      </c>
      <c r="C52">
        <v>232</v>
      </c>
      <c r="D52" s="2">
        <f t="shared" si="5"/>
        <v>10.027965281521585</v>
      </c>
      <c r="E52">
        <v>14.1</v>
      </c>
      <c r="F52">
        <f t="shared" si="10"/>
        <v>14.096</v>
      </c>
      <c r="G52">
        <f t="shared" si="7"/>
        <v>16.458569807037456</v>
      </c>
      <c r="H52">
        <f t="shared" si="9"/>
        <v>0.71140502848478893</v>
      </c>
      <c r="I52">
        <v>0.54</v>
      </c>
      <c r="J52" s="2" t="e">
        <f>IF(#REF!,+C52/I52&gt;0,LOTUS_ERR(+C52/I52))</f>
        <v>#REF!</v>
      </c>
      <c r="K52">
        <f t="shared" si="8"/>
        <v>1.0245627635152004</v>
      </c>
      <c r="R52" s="3" t="e">
        <f t="shared" si="6"/>
        <v>#N/A</v>
      </c>
      <c r="S52" s="3">
        <v>0.36914265879902802</v>
      </c>
    </row>
    <row r="53" spans="1:22">
      <c r="A53">
        <v>1737</v>
      </c>
      <c r="B53" s="2">
        <v>23.1758120130409</v>
      </c>
      <c r="C53">
        <v>199.7</v>
      </c>
      <c r="D53" s="2">
        <f t="shared" si="5"/>
        <v>8.6167423125295421</v>
      </c>
      <c r="E53">
        <v>14.71</v>
      </c>
      <c r="F53">
        <f t="shared" si="10"/>
        <v>15.065999999999999</v>
      </c>
      <c r="G53">
        <f t="shared" si="7"/>
        <v>13.255011283685121</v>
      </c>
      <c r="H53">
        <f t="shared" si="9"/>
        <v>0.57193298237949974</v>
      </c>
      <c r="I53">
        <v>0.54500000000000004</v>
      </c>
      <c r="J53" s="2" t="e">
        <f>IF(#REF!,+C53/I53&gt;0,LOTUS_ERR(+C53/I53))</f>
        <v>#REF!</v>
      </c>
      <c r="K53">
        <f t="shared" si="8"/>
        <v>0.87230047537645172</v>
      </c>
      <c r="R53" s="3" t="e">
        <f t="shared" si="6"/>
        <v>#N/A</v>
      </c>
      <c r="S53" s="3">
        <v>0.34638802040480499</v>
      </c>
    </row>
    <row r="54" spans="1:22">
      <c r="A54">
        <v>1738</v>
      </c>
      <c r="B54" s="2">
        <v>23.216322547973999</v>
      </c>
      <c r="C54">
        <v>208.8</v>
      </c>
      <c r="D54" s="2">
        <f t="shared" si="5"/>
        <v>8.9936724288929728</v>
      </c>
      <c r="E54">
        <v>16.13</v>
      </c>
      <c r="F54">
        <f t="shared" si="10"/>
        <v>16.358000000000001</v>
      </c>
      <c r="G54">
        <f t="shared" si="7"/>
        <v>12.764396625504341</v>
      </c>
      <c r="H54">
        <f t="shared" si="9"/>
        <v>0.54980269158167094</v>
      </c>
      <c r="I54">
        <v>0.5454</v>
      </c>
      <c r="J54" s="2" t="e">
        <f>IF(#REF!,+C54/I54&gt;0,LOTUS_ERR(+C54/I54))</f>
        <v>#REF!</v>
      </c>
      <c r="K54">
        <f t="shared" si="8"/>
        <v>0.9097905844138654</v>
      </c>
      <c r="R54" s="3" t="e">
        <f t="shared" si="6"/>
        <v>#N/A</v>
      </c>
      <c r="S54" s="3">
        <v>0.360216934919524</v>
      </c>
    </row>
    <row r="55" spans="1:22">
      <c r="A55">
        <v>1739</v>
      </c>
      <c r="B55" s="2">
        <v>23.2568330829071</v>
      </c>
      <c r="C55">
        <v>210</v>
      </c>
      <c r="D55" s="2">
        <f t="shared" si="5"/>
        <v>9.0296042995786099</v>
      </c>
      <c r="E55">
        <v>17.73</v>
      </c>
      <c r="F55">
        <f t="shared" si="10"/>
        <v>17.963999999999999</v>
      </c>
      <c r="G55">
        <f t="shared" si="7"/>
        <v>11.690046760187041</v>
      </c>
      <c r="H55">
        <f t="shared" si="9"/>
        <v>0.50264998327647581</v>
      </c>
      <c r="I55">
        <v>0.54369999999999996</v>
      </c>
      <c r="J55" s="2" t="e">
        <f>IF(#REF!,+C55/I55&gt;0,LOTUS_ERR(+C55/I55))</f>
        <v>#REF!</v>
      </c>
      <c r="K55">
        <f t="shared" si="8"/>
        <v>0.91628144466162431</v>
      </c>
      <c r="Q55">
        <v>59.33</v>
      </c>
      <c r="R55" s="3">
        <f t="shared" si="6"/>
        <v>0.28252380952380951</v>
      </c>
      <c r="S55" s="3">
        <v>0.35171821305841899</v>
      </c>
      <c r="U55">
        <v>29.184000000000001</v>
      </c>
      <c r="V55">
        <v>22.15</v>
      </c>
    </row>
    <row r="56" spans="1:22">
      <c r="A56">
        <v>1740</v>
      </c>
      <c r="B56" s="2">
        <v>23.297343617840198</v>
      </c>
      <c r="C56">
        <v>210.9</v>
      </c>
      <c r="D56" s="2">
        <f t="shared" si="5"/>
        <v>9.0525342055950535</v>
      </c>
      <c r="E56">
        <v>19.12</v>
      </c>
      <c r="F56">
        <f t="shared" si="10"/>
        <v>18.357999999999997</v>
      </c>
      <c r="G56">
        <f t="shared" si="7"/>
        <v>11.488179540254931</v>
      </c>
      <c r="H56">
        <f t="shared" si="9"/>
        <v>0.49311113441524429</v>
      </c>
      <c r="I56">
        <v>0.54339999999999999</v>
      </c>
      <c r="J56" s="2" t="e">
        <f>IF(#REF!,+C56/I56&gt;0,LOTUS_ERR(+C56/I56))</f>
        <v>#REF!</v>
      </c>
      <c r="K56">
        <f t="shared" si="8"/>
        <v>0.91911540762804278</v>
      </c>
      <c r="Q56">
        <v>61.4</v>
      </c>
      <c r="R56" s="3">
        <f t="shared" si="6"/>
        <v>0.29113323850165956</v>
      </c>
      <c r="S56" s="3">
        <v>0.36588337684943401</v>
      </c>
      <c r="U56">
        <v>28.524999999999999</v>
      </c>
      <c r="V56">
        <v>20.399999999999999</v>
      </c>
    </row>
    <row r="57" spans="1:22">
      <c r="A57">
        <v>1741</v>
      </c>
      <c r="B57" s="2">
        <v>23.296207808449601</v>
      </c>
      <c r="C57">
        <v>230.2</v>
      </c>
      <c r="D57" s="2">
        <f t="shared" si="5"/>
        <v>9.8814365794121137</v>
      </c>
      <c r="E57">
        <v>22.13</v>
      </c>
      <c r="F57">
        <f t="shared" si="10"/>
        <v>17.574000000000002</v>
      </c>
      <c r="G57">
        <f t="shared" si="7"/>
        <v>13.0988960965062</v>
      </c>
      <c r="H57">
        <f t="shared" si="9"/>
        <v>0.5622758950388137</v>
      </c>
      <c r="I57">
        <v>0.54790000000000005</v>
      </c>
      <c r="J57" s="2" t="e">
        <f>IF(#REF!,+C57/I57&gt;0,LOTUS_ERR(+C57/I57))</f>
        <v>#REF!</v>
      </c>
      <c r="K57">
        <f t="shared" si="8"/>
        <v>0.99503485353794274</v>
      </c>
      <c r="Q57">
        <v>60.88</v>
      </c>
      <c r="R57" s="3">
        <f t="shared" si="6"/>
        <v>0.26446568201563858</v>
      </c>
      <c r="S57" s="3">
        <v>0.32543241511851401</v>
      </c>
      <c r="U57">
        <v>28.14</v>
      </c>
      <c r="V57">
        <v>25.11</v>
      </c>
    </row>
    <row r="58" spans="1:22">
      <c r="A58">
        <v>1742</v>
      </c>
      <c r="B58" s="2">
        <v>23.295071999058901</v>
      </c>
      <c r="C58">
        <v>269.89999999999998</v>
      </c>
      <c r="D58" s="2">
        <f t="shared" si="5"/>
        <v>11.586141481378709</v>
      </c>
      <c r="E58">
        <v>16.68</v>
      </c>
      <c r="F58">
        <f t="shared" si="10"/>
        <v>16.393999999999998</v>
      </c>
      <c r="G58">
        <f t="shared" si="7"/>
        <v>16.463340246431621</v>
      </c>
      <c r="H58">
        <f t="shared" si="9"/>
        <v>0.70673060152364953</v>
      </c>
      <c r="I58">
        <v>0.55520000000000003</v>
      </c>
      <c r="J58" s="2" t="e">
        <f>IF(#REF!,+C58/I58&gt;0,LOTUS_ERR(+C58/I58))</f>
        <v>#REF!</v>
      </c>
      <c r="K58">
        <f t="shared" si="8"/>
        <v>1.1513540052296669</v>
      </c>
      <c r="Q58">
        <v>65.400000000000006</v>
      </c>
      <c r="R58" s="3">
        <f t="shared" si="6"/>
        <v>0.24231196739533165</v>
      </c>
      <c r="S58" s="3">
        <v>0.31811097256857901</v>
      </c>
      <c r="U58">
        <v>28.57</v>
      </c>
      <c r="V58">
        <v>26.48</v>
      </c>
    </row>
    <row r="59" spans="1:22">
      <c r="A59">
        <v>1743</v>
      </c>
      <c r="B59" s="2">
        <v>23.293936189668301</v>
      </c>
      <c r="C59">
        <v>249.5</v>
      </c>
      <c r="D59" s="2">
        <f t="shared" si="5"/>
        <v>10.710942022356111</v>
      </c>
      <c r="E59">
        <v>12.21</v>
      </c>
      <c r="F59">
        <f t="shared" si="10"/>
        <v>14.95</v>
      </c>
      <c r="G59">
        <f t="shared" si="7"/>
        <v>16.68896321070234</v>
      </c>
      <c r="H59">
        <f t="shared" si="9"/>
        <v>0.71645097139505765</v>
      </c>
      <c r="I59">
        <v>0.5635</v>
      </c>
      <c r="J59" s="2" t="e">
        <f>IF(#REF!,+C59/I59&gt;0,LOTUS_ERR(+C59/I59))</f>
        <v>#REF!</v>
      </c>
      <c r="K59">
        <f t="shared" si="8"/>
        <v>1.0487047960804177</v>
      </c>
      <c r="Q59">
        <v>65.366</v>
      </c>
      <c r="R59" s="3">
        <f t="shared" si="6"/>
        <v>0.26198797595190382</v>
      </c>
      <c r="S59" s="3">
        <v>0.32236942287193499</v>
      </c>
    </row>
    <row r="60" spans="1:22">
      <c r="A60">
        <v>1744</v>
      </c>
      <c r="B60" s="2">
        <v>23.292800380277601</v>
      </c>
      <c r="C60">
        <v>309.5</v>
      </c>
      <c r="D60" s="2">
        <f t="shared" si="5"/>
        <v>13.287367553368927</v>
      </c>
      <c r="E60">
        <v>11.83</v>
      </c>
      <c r="F60">
        <f t="shared" si="10"/>
        <v>13.453999999999999</v>
      </c>
      <c r="G60">
        <f t="shared" si="7"/>
        <v>23.004310985580499</v>
      </c>
      <c r="H60">
        <f t="shared" si="9"/>
        <v>0.98761465388501024</v>
      </c>
      <c r="I60">
        <v>0.56840000000000002</v>
      </c>
      <c r="J60" s="2" t="e">
        <f>IF(#REF!,+C60/I60&gt;0,LOTUS_ERR(+C60/I60))</f>
        <v>#REF!</v>
      </c>
      <c r="K60">
        <f t="shared" si="8"/>
        <v>1.2897465812844182</v>
      </c>
      <c r="R60" s="3" t="e">
        <f t="shared" si="6"/>
        <v>#N/A</v>
      </c>
      <c r="S60" s="3">
        <v>0.33120437956204402</v>
      </c>
    </row>
    <row r="61" spans="1:22">
      <c r="A61">
        <v>1745</v>
      </c>
      <c r="B61" s="2">
        <v>23.291664570887001</v>
      </c>
      <c r="C61">
        <v>318.60000000000002</v>
      </c>
      <c r="D61" s="2">
        <f t="shared" si="5"/>
        <v>13.678713216496703</v>
      </c>
      <c r="E61">
        <v>11.9</v>
      </c>
      <c r="F61">
        <f t="shared" si="10"/>
        <v>13.875999999999999</v>
      </c>
      <c r="G61">
        <f t="shared" si="7"/>
        <v>22.960507350821565</v>
      </c>
      <c r="H61">
        <f t="shared" si="9"/>
        <v>0.98578215742985764</v>
      </c>
      <c r="I61">
        <v>0.57340000000000002</v>
      </c>
      <c r="J61" s="2" t="e">
        <f>IF(#REF!,+C61/I61&gt;0,LOTUS_ERR(+C61/I61))</f>
        <v>#REF!</v>
      </c>
      <c r="K61">
        <f t="shared" si="8"/>
        <v>1.3161550722585083</v>
      </c>
      <c r="R61" s="3" t="e">
        <f t="shared" si="6"/>
        <v>#N/A</v>
      </c>
      <c r="S61" s="3">
        <v>0.35017826693535897</v>
      </c>
    </row>
    <row r="62" spans="1:22">
      <c r="A62">
        <v>1746</v>
      </c>
      <c r="B62" s="2">
        <v>23.290528761496301</v>
      </c>
      <c r="C62">
        <v>298.5</v>
      </c>
      <c r="D62" s="2">
        <f t="shared" si="5"/>
        <v>12.816368535757659</v>
      </c>
      <c r="E62">
        <v>14.65</v>
      </c>
      <c r="F62">
        <f t="shared" si="10"/>
        <v>15.715999999999999</v>
      </c>
      <c r="G62">
        <f t="shared" si="7"/>
        <v>18.993382540086536</v>
      </c>
      <c r="H62">
        <f t="shared" si="9"/>
        <v>0.81549812520728304</v>
      </c>
      <c r="I62">
        <v>0.57250000000000001</v>
      </c>
      <c r="J62" s="2" t="e">
        <f>IF(#REF!,+C62/I62&gt;0,LOTUS_ERR(+C62/I62))</f>
        <v>#REF!</v>
      </c>
      <c r="K62">
        <f t="shared" si="8"/>
        <v>1.235119567545252</v>
      </c>
      <c r="R62" s="3" t="e">
        <f t="shared" si="6"/>
        <v>#N/A</v>
      </c>
      <c r="S62" s="3">
        <v>0.37061929908785401</v>
      </c>
    </row>
    <row r="63" spans="1:22">
      <c r="A63">
        <v>1747</v>
      </c>
      <c r="B63" s="2">
        <v>23.2893929521057</v>
      </c>
      <c r="C63">
        <v>346.5</v>
      </c>
      <c r="D63" s="2">
        <f t="shared" si="5"/>
        <v>14.87801767579654</v>
      </c>
      <c r="E63">
        <v>18.79</v>
      </c>
      <c r="F63">
        <f t="shared" si="10"/>
        <v>17.240000000000002</v>
      </c>
      <c r="G63">
        <f t="shared" si="7"/>
        <v>20.09860788863109</v>
      </c>
      <c r="H63">
        <f t="shared" si="9"/>
        <v>0.86299406472137696</v>
      </c>
      <c r="I63">
        <v>0.57899999999999996</v>
      </c>
      <c r="J63" s="2" t="e">
        <f>IF(#REF!,+C63/I63&gt;0,LOTUS_ERR(+C63/I63))</f>
        <v>#REF!</v>
      </c>
      <c r="K63">
        <f t="shared" si="8"/>
        <v>1.4177054623059795</v>
      </c>
      <c r="R63" s="3" t="e">
        <f t="shared" si="6"/>
        <v>#N/A</v>
      </c>
      <c r="S63" s="3">
        <v>0.39017382559976999</v>
      </c>
    </row>
    <row r="64" spans="1:22">
      <c r="A64">
        <v>1748</v>
      </c>
      <c r="B64" s="2">
        <v>23.288257142715</v>
      </c>
      <c r="C64">
        <v>342.5</v>
      </c>
      <c r="D64" s="2">
        <f t="shared" si="5"/>
        <v>14.706982918519532</v>
      </c>
      <c r="E64">
        <v>21.41</v>
      </c>
      <c r="F64">
        <f t="shared" si="10"/>
        <v>18.445999999999998</v>
      </c>
      <c r="G64">
        <f t="shared" si="7"/>
        <v>18.567711156890386</v>
      </c>
      <c r="H64">
        <f t="shared" si="9"/>
        <v>0.79729930166537644</v>
      </c>
      <c r="I64">
        <v>0.58620000000000005</v>
      </c>
      <c r="J64" s="2" t="e">
        <f>IF(#REF!,+C64/I64&gt;0,LOTUS_ERR(+C64/I64))</f>
        <v>#REF!</v>
      </c>
      <c r="K64">
        <f t="shared" si="8"/>
        <v>1.3841950121647741</v>
      </c>
      <c r="R64" s="3" t="e">
        <f t="shared" si="6"/>
        <v>#N/A</v>
      </c>
      <c r="S64" s="3">
        <v>0.39477705236838501</v>
      </c>
    </row>
    <row r="65" spans="1:24">
      <c r="A65">
        <v>1749</v>
      </c>
      <c r="B65" s="2">
        <v>23.2871213333244</v>
      </c>
      <c r="C65">
        <v>317.8</v>
      </c>
      <c r="D65" s="2">
        <f t="shared" si="5"/>
        <v>13.647028134182518</v>
      </c>
      <c r="E65">
        <v>19.45</v>
      </c>
      <c r="F65">
        <f t="shared" si="10"/>
        <v>19.158000000000005</v>
      </c>
      <c r="G65">
        <f t="shared" si="7"/>
        <v>16.588370393569264</v>
      </c>
      <c r="H65">
        <f t="shared" si="9"/>
        <v>0.71234096117457535</v>
      </c>
      <c r="I65">
        <v>0.58989999999999998</v>
      </c>
      <c r="J65" s="2" t="e">
        <f>IF(#REF!,+C65/I65&gt;0,LOTUS_ERR(+C65/I65))</f>
        <v>#REF!</v>
      </c>
      <c r="K65">
        <f t="shared" si="8"/>
        <v>1.2763776672959344</v>
      </c>
      <c r="R65" s="3" t="e">
        <f t="shared" si="6"/>
        <v>#N/A</v>
      </c>
      <c r="S65" s="3">
        <v>0.39778489458233302</v>
      </c>
    </row>
    <row r="66" spans="1:24">
      <c r="A66">
        <v>1750</v>
      </c>
      <c r="B66" s="2">
        <v>23.2859855239337</v>
      </c>
      <c r="C66">
        <v>263</v>
      </c>
      <c r="D66" s="2">
        <f t="shared" si="5"/>
        <v>11.294346968037255</v>
      </c>
      <c r="E66">
        <v>17.93</v>
      </c>
      <c r="F66">
        <f t="shared" si="10"/>
        <v>19.536000000000001</v>
      </c>
      <c r="G66">
        <f t="shared" si="7"/>
        <v>13.462325962325961</v>
      </c>
      <c r="H66">
        <f t="shared" si="9"/>
        <v>0.57812996355637047</v>
      </c>
      <c r="I66">
        <v>0.59089999999999998</v>
      </c>
      <c r="J66" s="2" t="e">
        <f>IF(#REF!,+C66/I66&gt;0,LOTUS_ERR(+C66/I66))</f>
        <v>#REF!</v>
      </c>
      <c r="K66">
        <f t="shared" si="8"/>
        <v>1.054548701902805</v>
      </c>
      <c r="R66" s="3" t="e">
        <f t="shared" si="6"/>
        <v>#N/A</v>
      </c>
      <c r="S66" s="3">
        <v>0.43096290344181098</v>
      </c>
    </row>
    <row r="67" spans="1:24">
      <c r="A67">
        <v>1751</v>
      </c>
      <c r="B67" s="2">
        <v>23.432978189240099</v>
      </c>
      <c r="C67">
        <v>262.7</v>
      </c>
      <c r="D67" s="2">
        <f t="shared" si="5"/>
        <v>11.210696219596448</v>
      </c>
      <c r="E67">
        <v>18.21</v>
      </c>
      <c r="F67">
        <f t="shared" si="10"/>
        <v>18.954000000000001</v>
      </c>
      <c r="G67">
        <f t="shared" si="7"/>
        <v>13.859871267278674</v>
      </c>
      <c r="H67">
        <f t="shared" si="9"/>
        <v>0.59146861979510645</v>
      </c>
      <c r="I67">
        <v>0.59030000000000005</v>
      </c>
      <c r="J67" s="2" t="e">
        <f>IF(#REF!,+C67/I67&gt;0,LOTUS_ERR(+C67/I67))</f>
        <v>#REF!</v>
      </c>
      <c r="K67">
        <f t="shared" si="8"/>
        <v>1.0478022032664112</v>
      </c>
      <c r="R67" s="3" t="e">
        <f t="shared" si="6"/>
        <v>#N/A</v>
      </c>
      <c r="S67" s="3">
        <v>0.41961392137522902</v>
      </c>
    </row>
    <row r="68" spans="1:24">
      <c r="A68">
        <v>1752</v>
      </c>
      <c r="B68" s="2">
        <v>23.579970854546399</v>
      </c>
      <c r="C68">
        <v>262.39999999999998</v>
      </c>
      <c r="D68" s="2">
        <f t="shared" ref="D68:D99" si="11">IF(C68&gt;0,C68/B68,NA())</f>
        <v>11.128088394112973</v>
      </c>
      <c r="E68">
        <v>20.68</v>
      </c>
      <c r="F68">
        <f t="shared" si="10"/>
        <v>18.552</v>
      </c>
      <c r="G68">
        <f t="shared" si="7"/>
        <v>14.14402759810263</v>
      </c>
      <c r="H68">
        <f t="shared" si="9"/>
        <v>0.59983227652614135</v>
      </c>
      <c r="I68">
        <v>0.59189999999999998</v>
      </c>
      <c r="J68" s="2" t="e">
        <f>IF(#REF!,+C68/I68&gt;0,LOTUS_ERR(+C68/I68))</f>
        <v>#REF!</v>
      </c>
      <c r="K68">
        <f t="shared" si="8"/>
        <v>1.0372697980579604</v>
      </c>
      <c r="R68" s="3" t="e">
        <f t="shared" si="6"/>
        <v>#N/A</v>
      </c>
      <c r="S68" s="3">
        <v>0.42105263157894701</v>
      </c>
    </row>
    <row r="69" spans="1:24">
      <c r="A69">
        <v>1753</v>
      </c>
      <c r="B69" s="2">
        <v>23.726963519852799</v>
      </c>
      <c r="C69">
        <v>256.5</v>
      </c>
      <c r="D69" s="2">
        <f t="shared" si="11"/>
        <v>10.810485706920804</v>
      </c>
      <c r="E69">
        <v>18.5</v>
      </c>
      <c r="F69">
        <f t="shared" si="10"/>
        <v>17.631999999999998</v>
      </c>
      <c r="G69">
        <f t="shared" si="7"/>
        <v>14.54741379310345</v>
      </c>
      <c r="H69">
        <f t="shared" si="9"/>
        <v>0.61311738355948309</v>
      </c>
      <c r="I69">
        <v>0.59009999999999996</v>
      </c>
      <c r="J69" s="2" t="e">
        <f>IF(#REF!,+C69/I69&gt;0,LOTUS_ERR(+C69/I69))</f>
        <v>#REF!</v>
      </c>
      <c r="K69">
        <f t="shared" si="8"/>
        <v>1.0107391740403164</v>
      </c>
      <c r="Q69">
        <v>72.126000000000005</v>
      </c>
      <c r="R69" s="3">
        <f t="shared" si="6"/>
        <v>0.28119298245614038</v>
      </c>
      <c r="S69" s="3">
        <v>0.37639683837557902</v>
      </c>
      <c r="U69">
        <v>26</v>
      </c>
      <c r="V69">
        <v>20</v>
      </c>
    </row>
    <row r="70" spans="1:24">
      <c r="A70">
        <v>1754</v>
      </c>
      <c r="B70" s="2">
        <v>23.873956185159201</v>
      </c>
      <c r="C70">
        <v>256.8</v>
      </c>
      <c r="D70" s="2">
        <f t="shared" si="11"/>
        <v>10.756491216132622</v>
      </c>
      <c r="E70">
        <v>17.440000000000001</v>
      </c>
      <c r="F70">
        <f t="shared" si="10"/>
        <v>16.98</v>
      </c>
      <c r="G70">
        <f t="shared" si="7"/>
        <v>15.123674911660778</v>
      </c>
      <c r="H70">
        <f t="shared" si="9"/>
        <v>0.63348004806434755</v>
      </c>
      <c r="I70">
        <v>0.59350000000000003</v>
      </c>
      <c r="J70" s="2" t="e">
        <f>IF(#REF!,+C70/I70&gt;0,LOTUS_ERR(+C70/I70))</f>
        <v>#REF!</v>
      </c>
      <c r="K70">
        <f t="shared" si="8"/>
        <v>0.99992956565334545</v>
      </c>
      <c r="R70" s="3" t="e">
        <f t="shared" ref="R70:R89" si="12">IF(Q70&gt;0,+Q70/C70,NA())</f>
        <v>#N/A</v>
      </c>
      <c r="S70" s="3">
        <v>0.413505199941409</v>
      </c>
    </row>
    <row r="71" spans="1:24">
      <c r="A71">
        <v>1755</v>
      </c>
      <c r="B71" s="2">
        <v>24.020948850465501</v>
      </c>
      <c r="D71" s="2" t="e">
        <f t="shared" si="11"/>
        <v>#N/A</v>
      </c>
      <c r="E71">
        <v>13.33</v>
      </c>
      <c r="F71">
        <f t="shared" si="10"/>
        <v>16.556000000000001</v>
      </c>
      <c r="G71" t="e">
        <f t="shared" si="7"/>
        <v>#DIV/0!</v>
      </c>
      <c r="H71" t="e">
        <f t="shared" si="9"/>
        <v>#N/A</v>
      </c>
      <c r="I71">
        <v>0.59399999999999997</v>
      </c>
      <c r="J71" s="2" t="e">
        <f>IF(#REF!,+C71/I71&gt;0,LOTUS_ERR(+C71/I71))</f>
        <v>#REF!</v>
      </c>
      <c r="K71" t="e">
        <f t="shared" si="8"/>
        <v>#N/A</v>
      </c>
      <c r="R71" s="3" t="e">
        <f t="shared" si="12"/>
        <v>#N/A</v>
      </c>
      <c r="S71" s="3">
        <v>0.39362928797924501</v>
      </c>
    </row>
    <row r="72" spans="1:24">
      <c r="A72">
        <v>1756</v>
      </c>
      <c r="B72" s="2">
        <v>24.167941515771901</v>
      </c>
      <c r="D72" s="2" t="e">
        <f t="shared" si="11"/>
        <v>#N/A</v>
      </c>
      <c r="E72">
        <v>14.95</v>
      </c>
      <c r="F72">
        <f t="shared" si="10"/>
        <v>16.374000000000002</v>
      </c>
      <c r="G72" t="e">
        <f t="shared" si="7"/>
        <v>#DIV/0!</v>
      </c>
      <c r="H72" t="e">
        <f t="shared" si="9"/>
        <v>#N/A</v>
      </c>
      <c r="I72">
        <v>0.59130000000000005</v>
      </c>
      <c r="J72" s="2" t="e">
        <f>IF(#REF!,+C72/I72&gt;0,LOTUS_ERR(+C72/I72))</f>
        <v>#REF!</v>
      </c>
      <c r="K72" t="e">
        <f t="shared" si="8"/>
        <v>#N/A</v>
      </c>
      <c r="R72" s="3" t="e">
        <f t="shared" si="12"/>
        <v>#N/A</v>
      </c>
      <c r="S72" s="3">
        <v>0.39409077933200098</v>
      </c>
    </row>
    <row r="73" spans="1:24">
      <c r="A73">
        <v>1757</v>
      </c>
      <c r="B73" s="2">
        <v>24.3149341810782</v>
      </c>
      <c r="C73">
        <v>294</v>
      </c>
      <c r="D73" s="2">
        <f t="shared" si="11"/>
        <v>12.091334395993957</v>
      </c>
      <c r="E73">
        <v>18.559999999999999</v>
      </c>
      <c r="F73">
        <f t="shared" si="10"/>
        <v>16.558</v>
      </c>
      <c r="G73">
        <f t="shared" ref="G73:G104" si="13">C73/F73*C73/C73</f>
        <v>17.755767604783188</v>
      </c>
      <c r="H73">
        <f t="shared" si="9"/>
        <v>0.73024123662241558</v>
      </c>
      <c r="I73">
        <v>0.58760000000000001</v>
      </c>
      <c r="J73" s="2" t="e">
        <f>IF(#REF!,+C73/I73&gt;0,LOTUS_ERR(+C73/I73))</f>
        <v>#REF!</v>
      </c>
      <c r="K73">
        <f t="shared" si="8"/>
        <v>1.1353034328680518</v>
      </c>
      <c r="R73" s="3" t="e">
        <f t="shared" si="12"/>
        <v>#N/A</v>
      </c>
      <c r="S73" s="3">
        <v>0.35198895720918599</v>
      </c>
    </row>
    <row r="74" spans="1:24">
      <c r="A74">
        <v>1758</v>
      </c>
      <c r="B74" s="2">
        <v>24.4619268463846</v>
      </c>
      <c r="C74">
        <v>303.10000000000002</v>
      </c>
      <c r="D74" s="2">
        <f t="shared" si="11"/>
        <v>12.390683771699583</v>
      </c>
      <c r="E74">
        <v>17.59</v>
      </c>
      <c r="F74">
        <f t="shared" si="10"/>
        <v>17.565999999999999</v>
      </c>
      <c r="G74">
        <f t="shared" si="13"/>
        <v>17.254924285551635</v>
      </c>
      <c r="H74">
        <f t="shared" si="9"/>
        <v>0.70537878695773559</v>
      </c>
      <c r="I74">
        <v>0.58750000000000002</v>
      </c>
      <c r="J74" s="2" t="e">
        <f>IF(#REF!,+C74/I74&gt;0,LOTUS_ERR(+C74/I74))</f>
        <v>#REF!</v>
      </c>
      <c r="K74">
        <f t="shared" si="8"/>
        <v>1.1636085625803543</v>
      </c>
      <c r="R74" s="3" t="e">
        <f t="shared" si="12"/>
        <v>#N/A</v>
      </c>
      <c r="S74" s="3">
        <v>0.36433425622954901</v>
      </c>
    </row>
    <row r="75" spans="1:24">
      <c r="A75">
        <v>1759</v>
      </c>
      <c r="B75" s="2">
        <v>24.6089195116909</v>
      </c>
      <c r="C75">
        <v>288.5</v>
      </c>
      <c r="D75" s="2">
        <f t="shared" si="11"/>
        <v>11.723391588279323</v>
      </c>
      <c r="E75">
        <v>18.36</v>
      </c>
      <c r="F75">
        <f t="shared" si="10"/>
        <v>17.695999999999998</v>
      </c>
      <c r="G75">
        <f t="shared" si="13"/>
        <v>16.303119349005428</v>
      </c>
      <c r="H75">
        <f t="shared" si="9"/>
        <v>0.66248822266497087</v>
      </c>
      <c r="I75">
        <v>0.59060000000000001</v>
      </c>
      <c r="J75" s="2" t="e">
        <f>IF(#REF!,+C75/I75&gt;0,LOTUS_ERR(+C75/I75))</f>
        <v>#REF!</v>
      </c>
      <c r="K75">
        <f t="shared" ref="K75:K110" si="14">D75/I75*I$42/D$42</f>
        <v>1.0951644432369549</v>
      </c>
      <c r="Q75">
        <v>131</v>
      </c>
      <c r="R75" s="3">
        <f t="shared" si="12"/>
        <v>0.45407279029462738</v>
      </c>
      <c r="S75" s="3">
        <v>0.36137339055793999</v>
      </c>
      <c r="T75">
        <f>U75+V75</f>
        <v>71.852000000000004</v>
      </c>
      <c r="U75">
        <v>45.4</v>
      </c>
      <c r="V75">
        <v>26.452000000000002</v>
      </c>
    </row>
    <row r="76" spans="1:24">
      <c r="A76">
        <v>1760</v>
      </c>
      <c r="B76" s="2">
        <v>24.755912176997299</v>
      </c>
      <c r="C76">
        <v>286.54700000000003</v>
      </c>
      <c r="D76" s="2">
        <f t="shared" si="11"/>
        <v>11.574891603721788</v>
      </c>
      <c r="E76">
        <v>18.37</v>
      </c>
      <c r="F76">
        <f t="shared" si="10"/>
        <v>17.080000000000002</v>
      </c>
      <c r="G76">
        <f t="shared" si="13"/>
        <v>16.77675644028103</v>
      </c>
      <c r="H76">
        <f t="shared" si="9"/>
        <v>0.67768686204460116</v>
      </c>
      <c r="I76">
        <v>0.59609999999999996</v>
      </c>
      <c r="J76" s="2" t="e">
        <f>IF(#REF!,+C76/I76&gt;0,LOTUS_ERR(+C76/I76))</f>
        <v>#REF!</v>
      </c>
      <c r="K76">
        <f t="shared" si="14"/>
        <v>1.0713153235040895</v>
      </c>
      <c r="R76" s="3" t="e">
        <f t="shared" si="12"/>
        <v>#N/A</v>
      </c>
      <c r="S76" s="3">
        <v>0.36624307592049499</v>
      </c>
      <c r="T76">
        <v>79</v>
      </c>
    </row>
    <row r="77" spans="1:24">
      <c r="A77">
        <v>1761</v>
      </c>
      <c r="B77" s="2">
        <v>24.842139039904001</v>
      </c>
      <c r="D77" s="2" t="e">
        <f t="shared" si="11"/>
        <v>#N/A</v>
      </c>
      <c r="E77">
        <v>15.6</v>
      </c>
      <c r="F77">
        <f t="shared" si="10"/>
        <v>16.538</v>
      </c>
      <c r="G77" t="e">
        <f t="shared" si="13"/>
        <v>#DIV/0!</v>
      </c>
      <c r="H77" t="e">
        <f t="shared" si="9"/>
        <v>#N/A</v>
      </c>
      <c r="I77">
        <v>0.60629999999999995</v>
      </c>
      <c r="J77" s="2" t="e">
        <f>IF(#REF!,+C77/I77&gt;0,LOTUS_ERR(+C77/I77))</f>
        <v>#REF!</v>
      </c>
      <c r="K77" t="e">
        <f t="shared" si="14"/>
        <v>#N/A</v>
      </c>
      <c r="R77" s="3" t="e">
        <f t="shared" si="12"/>
        <v>#N/A</v>
      </c>
      <c r="S77" s="3">
        <v>0.39847821555138602</v>
      </c>
    </row>
    <row r="78" spans="1:24">
      <c r="A78">
        <v>1762</v>
      </c>
      <c r="B78" s="2">
        <v>24.9283659028107</v>
      </c>
      <c r="D78" s="2" t="e">
        <f t="shared" si="11"/>
        <v>#N/A</v>
      </c>
      <c r="E78">
        <v>15.48</v>
      </c>
      <c r="F78">
        <f t="shared" si="10"/>
        <v>15.991999999999999</v>
      </c>
      <c r="G78" t="e">
        <f t="shared" si="13"/>
        <v>#DIV/0!</v>
      </c>
      <c r="H78" t="e">
        <f t="shared" si="9"/>
        <v>#N/A</v>
      </c>
      <c r="I78">
        <v>0.61529999999999996</v>
      </c>
      <c r="J78" s="2" t="e">
        <f>IF(#REF!,+C78/I78&gt;0,LOTUS_ERR(+C78/I78))</f>
        <v>#REF!</v>
      </c>
      <c r="K78" t="e">
        <f t="shared" si="14"/>
        <v>#N/A</v>
      </c>
      <c r="R78" s="3" t="e">
        <f t="shared" si="12"/>
        <v>#N/A</v>
      </c>
      <c r="S78" s="3">
        <v>0.465588328575959</v>
      </c>
    </row>
    <row r="79" spans="1:24">
      <c r="A79">
        <v>1763</v>
      </c>
      <c r="B79" s="2">
        <v>25.0145927657173</v>
      </c>
      <c r="C79">
        <v>320.06099999999998</v>
      </c>
      <c r="D79" s="2">
        <f t="shared" si="11"/>
        <v>12.794971439177141</v>
      </c>
      <c r="E79">
        <v>14.88</v>
      </c>
      <c r="F79">
        <f t="shared" si="10"/>
        <v>15.802000000000001</v>
      </c>
      <c r="G79">
        <f t="shared" si="13"/>
        <v>20.254461460574607</v>
      </c>
      <c r="H79">
        <f t="shared" si="9"/>
        <v>0.80970582452709405</v>
      </c>
      <c r="I79">
        <v>0.62660000000000005</v>
      </c>
      <c r="J79" s="2" t="e">
        <f>IF(#REF!,+C79/I79&gt;0,LOTUS_ERR(+C79/I79))</f>
        <v>#REF!</v>
      </c>
      <c r="K79">
        <f t="shared" si="14"/>
        <v>1.1265966002089054</v>
      </c>
      <c r="R79" s="3" t="e">
        <f t="shared" si="12"/>
        <v>#N/A</v>
      </c>
      <c r="S79" s="3">
        <v>0.47646277953640398</v>
      </c>
    </row>
    <row r="80" spans="1:24">
      <c r="A80">
        <v>1764</v>
      </c>
      <c r="B80" s="2">
        <v>25.100819628623999</v>
      </c>
      <c r="C80">
        <v>309.29399999999998</v>
      </c>
      <c r="D80" s="2">
        <f t="shared" si="11"/>
        <v>12.322067748229749</v>
      </c>
      <c r="E80">
        <v>15.63</v>
      </c>
      <c r="F80">
        <f t="shared" si="10"/>
        <v>16.824000000000002</v>
      </c>
      <c r="G80">
        <f t="shared" si="13"/>
        <v>18.384094151212551</v>
      </c>
      <c r="H80">
        <f t="shared" si="9"/>
        <v>0.73241011342307105</v>
      </c>
      <c r="I80">
        <v>0.63739999999999997</v>
      </c>
      <c r="J80" s="2" t="e">
        <f>IF(#REF!,+C80/I80&gt;0,LOTUS_ERR(+C80/I80))</f>
        <v>#REF!</v>
      </c>
      <c r="K80">
        <f t="shared" si="14"/>
        <v>1.0665741143439234</v>
      </c>
      <c r="Q80">
        <v>124</v>
      </c>
      <c r="R80" s="3">
        <f t="shared" si="12"/>
        <v>0.4009130471331484</v>
      </c>
      <c r="S80" s="3">
        <v>0.478133255063105</v>
      </c>
      <c r="U80">
        <v>55.887</v>
      </c>
      <c r="V80">
        <v>53.06</v>
      </c>
      <c r="X80">
        <v>37.58</v>
      </c>
    </row>
    <row r="81" spans="1:22">
      <c r="A81">
        <v>1765</v>
      </c>
      <c r="B81" s="2">
        <v>25.187046491530701</v>
      </c>
      <c r="C81">
        <v>321.7</v>
      </c>
      <c r="D81" s="2">
        <f t="shared" si="11"/>
        <v>12.77243840829744</v>
      </c>
      <c r="E81">
        <v>17.420000000000002</v>
      </c>
      <c r="F81">
        <f t="shared" si="10"/>
        <v>18.200000000000003</v>
      </c>
      <c r="G81">
        <f t="shared" si="13"/>
        <v>17.675824175824172</v>
      </c>
      <c r="H81">
        <f t="shared" si="9"/>
        <v>0.70178233012623281</v>
      </c>
      <c r="I81">
        <v>0.65580000000000005</v>
      </c>
      <c r="J81" s="2" t="e">
        <f>IF(#REF!,+C81/I81&gt;0,LOTUS_ERR(+C81/I81))</f>
        <v>#REF!</v>
      </c>
      <c r="K81">
        <f t="shared" si="14"/>
        <v>1.0745383273599307</v>
      </c>
      <c r="R81" s="3" t="e">
        <f t="shared" si="12"/>
        <v>#N/A</v>
      </c>
      <c r="S81" s="3">
        <v>0.44180087847730598</v>
      </c>
    </row>
    <row r="82" spans="1:22">
      <c r="A82">
        <v>1766</v>
      </c>
      <c r="B82" s="2">
        <v>26.003672470599302</v>
      </c>
      <c r="C82">
        <v>333.3</v>
      </c>
      <c r="D82" s="2">
        <f t="shared" si="11"/>
        <v>12.81742032310402</v>
      </c>
      <c r="E82">
        <v>20.71</v>
      </c>
      <c r="F82">
        <f t="shared" si="10"/>
        <v>20.066000000000003</v>
      </c>
      <c r="G82">
        <f t="shared" si="13"/>
        <v>16.61018638492973</v>
      </c>
      <c r="H82">
        <f t="shared" ref="H82:H107" si="15">D82/F82</f>
        <v>0.63876309793202524</v>
      </c>
      <c r="I82">
        <v>0.67830000000000001</v>
      </c>
      <c r="J82" s="2" t="e">
        <f>IF(#REF!,+C82/I82&gt;0,LOTUS_ERR(+C82/I82))</f>
        <v>#REF!</v>
      </c>
      <c r="K82">
        <f t="shared" si="14"/>
        <v>1.0425534155022174</v>
      </c>
      <c r="R82" s="3" t="e">
        <f t="shared" si="12"/>
        <v>#N/A</v>
      </c>
      <c r="S82" s="3">
        <v>0.45601401323472202</v>
      </c>
    </row>
    <row r="83" spans="1:22">
      <c r="A83">
        <v>1767</v>
      </c>
      <c r="B83" s="2">
        <v>26.092391295016998</v>
      </c>
      <c r="C83">
        <v>303.40100000000001</v>
      </c>
      <c r="D83" s="2">
        <f t="shared" si="11"/>
        <v>11.627949181412978</v>
      </c>
      <c r="E83">
        <v>22.36</v>
      </c>
      <c r="F83">
        <f t="shared" ref="F83:F106" si="16">AVERAGEA(E81:E85)</f>
        <v>21.742000000000001</v>
      </c>
      <c r="G83">
        <f t="shared" si="13"/>
        <v>13.954603992273022</v>
      </c>
      <c r="H83">
        <f t="shared" si="15"/>
        <v>0.53481506675618518</v>
      </c>
      <c r="I83">
        <v>0.6976</v>
      </c>
      <c r="J83" s="2" t="e">
        <f>IF(#REF!,+C83/I83&gt;0,LOTUS_ERR(+C83/I83))</f>
        <v>#REF!</v>
      </c>
      <c r="K83">
        <f t="shared" si="14"/>
        <v>0.91963641379682937</v>
      </c>
      <c r="R83" s="3" t="e">
        <f t="shared" si="12"/>
        <v>#N/A</v>
      </c>
      <c r="S83" s="3">
        <v>0.50871503850831001</v>
      </c>
    </row>
    <row r="84" spans="1:22">
      <c r="A84">
        <v>1768</v>
      </c>
      <c r="B84" s="2">
        <v>26.320080142587599</v>
      </c>
      <c r="C84">
        <v>317.35500000000002</v>
      </c>
      <c r="D84" s="2">
        <f t="shared" si="11"/>
        <v>12.057524075943029</v>
      </c>
      <c r="E84">
        <v>24.21</v>
      </c>
      <c r="F84">
        <f t="shared" si="16"/>
        <v>24.134</v>
      </c>
      <c r="G84">
        <f t="shared" si="13"/>
        <v>13.14970580923179</v>
      </c>
      <c r="H84">
        <f t="shared" si="15"/>
        <v>0.49960736205946088</v>
      </c>
      <c r="I84">
        <v>0.71530000000000005</v>
      </c>
      <c r="J84" s="2" t="e">
        <f>IF(#REF!,+C84/I84&gt;0,LOTUS_ERR(+C84/I84))</f>
        <v>#REF!</v>
      </c>
      <c r="K84">
        <f t="shared" si="14"/>
        <v>0.93001385548931659</v>
      </c>
      <c r="Q84">
        <v>151.74</v>
      </c>
      <c r="R84" s="3">
        <f t="shared" si="12"/>
        <v>0.47813962281987049</v>
      </c>
      <c r="S84" s="3">
        <v>0.484749777909387</v>
      </c>
    </row>
    <row r="85" spans="1:22">
      <c r="A85">
        <v>1769</v>
      </c>
      <c r="B85" s="2">
        <v>26.409269888865602</v>
      </c>
      <c r="C85">
        <v>311.86</v>
      </c>
      <c r="D85" s="2">
        <f t="shared" si="11"/>
        <v>11.808732362248422</v>
      </c>
      <c r="E85">
        <v>24.01</v>
      </c>
      <c r="F85">
        <f t="shared" si="16"/>
        <v>25.659999999999997</v>
      </c>
      <c r="G85">
        <f t="shared" si="13"/>
        <v>12.153546375681998</v>
      </c>
      <c r="H85">
        <f t="shared" si="15"/>
        <v>0.46020001411724176</v>
      </c>
      <c r="I85">
        <v>0.72799999999999998</v>
      </c>
      <c r="J85" s="2" t="e">
        <f>IF(#REF!,+C85/I85&gt;0,LOTUS_ERR(+C85/I85))</f>
        <v>#REF!</v>
      </c>
      <c r="K85">
        <f t="shared" si="14"/>
        <v>0.89493482115047307</v>
      </c>
      <c r="Q85">
        <v>155</v>
      </c>
      <c r="R85" s="3">
        <f t="shared" si="12"/>
        <v>0.49701789264413515</v>
      </c>
      <c r="S85" s="3">
        <v>0.43153638814016199</v>
      </c>
    </row>
    <row r="86" spans="1:22">
      <c r="A86">
        <v>1770</v>
      </c>
      <c r="B86" s="2">
        <v>26.4984596351436</v>
      </c>
      <c r="D86" s="2" t="e">
        <f t="shared" si="11"/>
        <v>#N/A</v>
      </c>
      <c r="E86">
        <v>29.38</v>
      </c>
      <c r="F86">
        <f t="shared" si="16"/>
        <v>26.386000000000003</v>
      </c>
      <c r="G86" t="e">
        <f t="shared" si="13"/>
        <v>#DIV/0!</v>
      </c>
      <c r="H86" t="e">
        <f t="shared" si="15"/>
        <v>#N/A</v>
      </c>
      <c r="I86">
        <v>0.74219999999999997</v>
      </c>
      <c r="J86" s="2" t="e">
        <f>IF(#REF!,+C86/I86&gt;0,LOTUS_ERR(+C86/I86))</f>
        <v>#REF!</v>
      </c>
      <c r="K86" t="e">
        <f t="shared" si="14"/>
        <v>#N/A</v>
      </c>
      <c r="R86" s="3" t="e">
        <f t="shared" si="12"/>
        <v>#N/A</v>
      </c>
      <c r="S86" s="3">
        <v>0.42521762068055902</v>
      </c>
    </row>
    <row r="87" spans="1:22">
      <c r="A87">
        <v>1771</v>
      </c>
      <c r="B87" s="2">
        <v>26.596950178234401</v>
      </c>
      <c r="D87" s="2" t="e">
        <f t="shared" si="11"/>
        <v>#N/A</v>
      </c>
      <c r="E87">
        <v>28.34</v>
      </c>
      <c r="F87">
        <f t="shared" si="16"/>
        <v>26.677999999999997</v>
      </c>
      <c r="G87" t="e">
        <f t="shared" si="13"/>
        <v>#DIV/0!</v>
      </c>
      <c r="H87" t="e">
        <f t="shared" si="15"/>
        <v>#N/A</v>
      </c>
      <c r="I87">
        <v>0.74560000000000004</v>
      </c>
      <c r="J87" s="2" t="e">
        <f>IF(#REF!,+C87/I87&gt;0,LOTUS_ERR(+C87/I87))</f>
        <v>#REF!</v>
      </c>
      <c r="K87" t="e">
        <f t="shared" si="14"/>
        <v>#N/A</v>
      </c>
      <c r="R87" s="3" t="e">
        <f t="shared" si="12"/>
        <v>#N/A</v>
      </c>
      <c r="S87" s="3">
        <v>0.41967780103759</v>
      </c>
    </row>
    <row r="88" spans="1:22">
      <c r="A88">
        <v>1772</v>
      </c>
      <c r="B88" s="2">
        <v>26.695440721325198</v>
      </c>
      <c r="C88">
        <f>375</f>
        <v>375</v>
      </c>
      <c r="D88" s="2">
        <f t="shared" si="11"/>
        <v>14.047342537425788</v>
      </c>
      <c r="E88">
        <v>25.99</v>
      </c>
      <c r="F88">
        <f t="shared" si="16"/>
        <v>26.423999999999999</v>
      </c>
      <c r="G88">
        <f t="shared" si="13"/>
        <v>14.19164396003633</v>
      </c>
      <c r="H88">
        <f t="shared" si="15"/>
        <v>0.53161302366885366</v>
      </c>
      <c r="I88">
        <v>0.74919999999999998</v>
      </c>
      <c r="J88" s="2" t="e">
        <f>IF(#REF!,+C88/I88&gt;0,LOTUS_ERR(+C88/I88))</f>
        <v>#REF!</v>
      </c>
      <c r="K88">
        <f t="shared" si="14"/>
        <v>1.0344652586565874</v>
      </c>
      <c r="Q88">
        <v>135.6</v>
      </c>
      <c r="R88" s="3">
        <f t="shared" si="12"/>
        <v>0.36159999999999998</v>
      </c>
      <c r="S88" s="3">
        <v>0.42472582253240299</v>
      </c>
    </row>
    <row r="89" spans="1:22">
      <c r="A89">
        <v>1773</v>
      </c>
      <c r="B89" s="2">
        <v>26.793931264415999</v>
      </c>
      <c r="C89">
        <v>374.96</v>
      </c>
      <c r="D89" s="2">
        <f t="shared" si="11"/>
        <v>13.994213700845389</v>
      </c>
      <c r="E89">
        <v>25.67</v>
      </c>
      <c r="F89">
        <f t="shared" si="16"/>
        <v>25.509999999999998</v>
      </c>
      <c r="G89">
        <f t="shared" si="13"/>
        <v>14.698549588396707</v>
      </c>
      <c r="H89">
        <f t="shared" si="15"/>
        <v>0.54857756569366489</v>
      </c>
      <c r="I89">
        <v>0.755</v>
      </c>
      <c r="J89" s="2" t="e">
        <f>IF(#REF!,+C89/I89&gt;0,LOTUS_ERR(+C89/I89))</f>
        <v>#REF!</v>
      </c>
      <c r="K89">
        <f t="shared" si="14"/>
        <v>1.0226359501445721</v>
      </c>
      <c r="R89" s="3" t="e">
        <f t="shared" si="12"/>
        <v>#N/A</v>
      </c>
      <c r="S89" s="3">
        <v>0.443310765709927</v>
      </c>
    </row>
    <row r="90" spans="1:22">
      <c r="A90">
        <v>1774</v>
      </c>
      <c r="B90" s="2">
        <v>26.8924218075068</v>
      </c>
      <c r="C90">
        <v>376.56</v>
      </c>
      <c r="D90" s="2">
        <f t="shared" si="11"/>
        <v>14.002457744244007</v>
      </c>
      <c r="E90">
        <v>22.74</v>
      </c>
      <c r="F90">
        <f t="shared" si="16"/>
        <v>23.873999999999999</v>
      </c>
      <c r="G90">
        <f t="shared" si="13"/>
        <v>15.772807237999498</v>
      </c>
      <c r="H90">
        <f t="shared" si="15"/>
        <v>0.58651494279316441</v>
      </c>
      <c r="I90">
        <v>0.75429999999999997</v>
      </c>
      <c r="J90" s="2" t="e">
        <f>IF(#REF!,+C90/I90&gt;0,LOTUS_ERR(+C90/I90))</f>
        <v>#REF!</v>
      </c>
      <c r="K90">
        <f t="shared" si="14"/>
        <v>1.0241879670381719</v>
      </c>
      <c r="M90">
        <v>2243.2893242195901</v>
      </c>
      <c r="N90">
        <f t="shared" ref="N90:N105" si="17">M90/B90</f>
        <v>83.417155222271361</v>
      </c>
      <c r="O90">
        <v>141.97967129513401</v>
      </c>
      <c r="P90" s="3">
        <f>IF(+O90/C90&gt;0,+O90/C90,NA())</f>
        <v>0.37704395393863926</v>
      </c>
      <c r="S90" s="3">
        <v>0.43456138697823399</v>
      </c>
    </row>
    <row r="91" spans="1:22">
      <c r="A91">
        <v>1775</v>
      </c>
      <c r="B91" s="2">
        <v>26.990912350597601</v>
      </c>
      <c r="C91">
        <v>374.28</v>
      </c>
      <c r="D91" s="2">
        <f t="shared" si="11"/>
        <v>13.866889534458924</v>
      </c>
      <c r="E91">
        <v>24.81</v>
      </c>
      <c r="F91">
        <f t="shared" si="16"/>
        <v>22.845999999999997</v>
      </c>
      <c r="G91">
        <f t="shared" si="13"/>
        <v>16.382736584084743</v>
      </c>
      <c r="H91">
        <f t="shared" si="15"/>
        <v>0.60697231613669467</v>
      </c>
      <c r="I91">
        <v>0.74390000000000001</v>
      </c>
      <c r="J91" s="2" t="e">
        <f>IF(#REF!,+C91/I91&gt;0,LOTUS_ERR(+C91/I91))</f>
        <v>#REF!</v>
      </c>
      <c r="K91">
        <f t="shared" si="14"/>
        <v>1.0284519436196526</v>
      </c>
      <c r="M91">
        <v>2244.11871722357</v>
      </c>
      <c r="N91">
        <f t="shared" si="17"/>
        <v>83.143492449371891</v>
      </c>
      <c r="O91">
        <v>146.28664713575199</v>
      </c>
      <c r="P91" s="3">
        <f>IF(+O91/C91&gt;0,+O91/C91,NA())</f>
        <v>0.39084815415130919</v>
      </c>
      <c r="Q91">
        <v>155.5</v>
      </c>
      <c r="R91" s="3">
        <f>IF(Q91&gt;0,+Q91/C91,NA())</f>
        <v>0.41546435823447692</v>
      </c>
      <c r="S91" s="3">
        <v>0.42062634989200898</v>
      </c>
      <c r="U91">
        <v>47.442999999999998</v>
      </c>
      <c r="V91">
        <v>45.923000000000002</v>
      </c>
    </row>
    <row r="92" spans="1:22">
      <c r="A92">
        <v>1776</v>
      </c>
      <c r="B92" s="2">
        <v>27.089402893688401</v>
      </c>
      <c r="C92">
        <v>378.38</v>
      </c>
      <c r="D92" s="2">
        <f t="shared" si="11"/>
        <v>13.967823561299658</v>
      </c>
      <c r="E92">
        <v>20.16</v>
      </c>
      <c r="F92">
        <f t="shared" si="16"/>
        <v>22.292000000000002</v>
      </c>
      <c r="G92">
        <f t="shared" si="13"/>
        <v>16.973802260900769</v>
      </c>
      <c r="H92">
        <f t="shared" si="15"/>
        <v>0.62658458466264388</v>
      </c>
      <c r="I92">
        <v>0.73629999999999995</v>
      </c>
      <c r="J92" s="2" t="e">
        <f>IF(#REF!,+C92/I92&gt;0,LOTUS_ERR(+C92/I92))</f>
        <v>#REF!</v>
      </c>
      <c r="K92">
        <f t="shared" si="14"/>
        <v>1.0466306437187243</v>
      </c>
      <c r="M92">
        <v>2201.57465719021</v>
      </c>
      <c r="N92">
        <f t="shared" si="17"/>
        <v>81.270697099903884</v>
      </c>
      <c r="O92">
        <v>142.6676761535</v>
      </c>
      <c r="P92" s="3">
        <f t="shared" ref="P92:P104" si="18">IF(+O92/C92&gt;0,+O92/C92,NA())</f>
        <v>0.37704867105423118</v>
      </c>
      <c r="Q92">
        <v>158.49199999999999</v>
      </c>
      <c r="R92" s="3">
        <f>IF(Q92&gt;0,+Q92/C92,NA())</f>
        <v>0.41886991912891802</v>
      </c>
      <c r="S92" s="3">
        <v>0.43797276853252598</v>
      </c>
      <c r="U92">
        <v>53.255000000000003</v>
      </c>
      <c r="V92">
        <v>44.975000000000001</v>
      </c>
    </row>
    <row r="93" spans="1:22">
      <c r="A93">
        <v>1777</v>
      </c>
      <c r="B93" s="2">
        <v>27.187893436779198</v>
      </c>
      <c r="C93">
        <v>386.59</v>
      </c>
      <c r="D93" s="2">
        <f t="shared" si="11"/>
        <v>14.219196529475481</v>
      </c>
      <c r="E93">
        <v>20.85</v>
      </c>
      <c r="F93">
        <f t="shared" si="16"/>
        <v>21.986000000000001</v>
      </c>
      <c r="G93">
        <f t="shared" si="13"/>
        <v>17.583462203220229</v>
      </c>
      <c r="H93">
        <f t="shared" si="15"/>
        <v>0.64673867595176382</v>
      </c>
      <c r="I93">
        <v>0.7359</v>
      </c>
      <c r="J93" s="2" t="e">
        <f>IF(#REF!,+C93/I93&gt;0,LOTUS_ERR(+C93/I93))</f>
        <v>#REF!</v>
      </c>
      <c r="K93">
        <f t="shared" si="14"/>
        <v>1.0660455459051357</v>
      </c>
      <c r="M93">
        <v>2233.6678751735499</v>
      </c>
      <c r="N93">
        <f t="shared" si="17"/>
        <v>82.156709947667068</v>
      </c>
      <c r="O93">
        <v>165.251873300261</v>
      </c>
      <c r="P93" s="3">
        <f t="shared" si="18"/>
        <v>0.42746028945461861</v>
      </c>
      <c r="S93" s="3">
        <v>0.42404322377307502</v>
      </c>
      <c r="V93">
        <v>45.253260675953598</v>
      </c>
    </row>
    <row r="94" spans="1:22">
      <c r="A94">
        <v>1778</v>
      </c>
      <c r="B94" s="2">
        <v>27.286383979869999</v>
      </c>
      <c r="C94">
        <v>401.04</v>
      </c>
      <c r="D94" s="2">
        <f t="shared" si="11"/>
        <v>14.697440316601112</v>
      </c>
      <c r="E94">
        <v>22.9</v>
      </c>
      <c r="F94">
        <f t="shared" si="16"/>
        <v>20.956</v>
      </c>
      <c r="G94">
        <f t="shared" si="13"/>
        <v>19.137239931284597</v>
      </c>
      <c r="H94">
        <f t="shared" si="15"/>
        <v>0.70134760052496237</v>
      </c>
      <c r="I94">
        <v>0.73770000000000002</v>
      </c>
      <c r="J94" s="2" t="e">
        <f>IF(#REF!,+C94/I94&gt;0,LOTUS_ERR(+C94/I94))</f>
        <v>#REF!</v>
      </c>
      <c r="K94">
        <f t="shared" si="14"/>
        <v>1.0992119164350884</v>
      </c>
      <c r="M94">
        <v>2301.2686888323001</v>
      </c>
      <c r="N94">
        <f t="shared" si="17"/>
        <v>84.337620203908898</v>
      </c>
      <c r="O94">
        <v>148.14706793421499</v>
      </c>
      <c r="P94" s="3">
        <f t="shared" si="18"/>
        <v>0.36940721108671198</v>
      </c>
      <c r="S94" s="3">
        <v>0.43983910458202202</v>
      </c>
      <c r="V94">
        <v>48.513466569062302</v>
      </c>
    </row>
    <row r="95" spans="1:22">
      <c r="A95">
        <v>1779</v>
      </c>
      <c r="B95" s="2">
        <v>27.3848745229608</v>
      </c>
      <c r="C95" s="14">
        <f>+Revenues!G11</f>
        <v>406.72</v>
      </c>
      <c r="D95" s="2">
        <f t="shared" si="11"/>
        <v>14.851994288269839</v>
      </c>
      <c r="E95">
        <v>21.21</v>
      </c>
      <c r="F95">
        <f t="shared" si="16"/>
        <v>21.122</v>
      </c>
      <c r="G95">
        <f t="shared" si="13"/>
        <v>19.255752296184074</v>
      </c>
      <c r="H95">
        <f t="shared" si="15"/>
        <v>0.70315284008473822</v>
      </c>
      <c r="I95">
        <v>0.74270000000000003</v>
      </c>
      <c r="J95" s="2" t="e">
        <f>IF(#REF!,+C95/I95&gt;0,LOTUS_ERR(+C95/I95))</f>
        <v>#REF!</v>
      </c>
      <c r="K95">
        <f t="shared" si="14"/>
        <v>1.1032929820449349</v>
      </c>
      <c r="M95">
        <v>2397.8000342942601</v>
      </c>
      <c r="N95">
        <f t="shared" si="17"/>
        <v>87.55928504561264</v>
      </c>
      <c r="O95">
        <v>147.30124575594101</v>
      </c>
      <c r="P95" s="3">
        <f t="shared" si="18"/>
        <v>0.36216868055650325</v>
      </c>
      <c r="S95" s="3">
        <v>0.47397283388171801</v>
      </c>
      <c r="V95">
        <v>53.811355512604798</v>
      </c>
    </row>
    <row r="96" spans="1:22">
      <c r="A96">
        <v>1780</v>
      </c>
      <c r="B96" s="2">
        <v>27.483365066051601</v>
      </c>
      <c r="C96" s="14">
        <f>+Revenues!G12</f>
        <v>414.4</v>
      </c>
      <c r="D96" s="2">
        <f t="shared" si="11"/>
        <v>15.078211820279648</v>
      </c>
      <c r="E96">
        <v>19.66</v>
      </c>
      <c r="F96">
        <f t="shared" si="16"/>
        <v>21.715999999999998</v>
      </c>
      <c r="G96">
        <f t="shared" si="13"/>
        <v>19.082703997052864</v>
      </c>
      <c r="H96">
        <f t="shared" si="15"/>
        <v>0.69433651778779015</v>
      </c>
      <c r="I96">
        <v>0.74380000000000002</v>
      </c>
      <c r="J96" s="2" t="e">
        <f>IF(#REF!,+C96/I96&gt;0,LOTUS_ERR(+C96/I96))</f>
        <v>#REF!</v>
      </c>
      <c r="K96">
        <f t="shared" si="14"/>
        <v>1.1184412393307217</v>
      </c>
      <c r="M96">
        <v>2505.6181003443498</v>
      </c>
      <c r="N96">
        <f t="shared" si="17"/>
        <v>91.168533923066633</v>
      </c>
      <c r="O96">
        <v>162.82932908551501</v>
      </c>
      <c r="P96" s="3">
        <f t="shared" si="18"/>
        <v>0.3929279176774011</v>
      </c>
      <c r="S96" s="3">
        <v>0.47868093260938999</v>
      </c>
      <c r="V96">
        <v>52.972408166660003</v>
      </c>
    </row>
    <row r="97" spans="1:22">
      <c r="A97">
        <v>1781</v>
      </c>
      <c r="B97" s="2">
        <v>27.536526462570801</v>
      </c>
      <c r="C97">
        <v>428.4</v>
      </c>
      <c r="D97" s="2">
        <f t="shared" si="11"/>
        <v>15.557517778515217</v>
      </c>
      <c r="E97">
        <v>20.99</v>
      </c>
      <c r="F97">
        <f t="shared" si="16"/>
        <v>21.826000000000001</v>
      </c>
      <c r="G97">
        <f t="shared" si="13"/>
        <v>19.627966645285436</v>
      </c>
      <c r="H97">
        <f t="shared" si="15"/>
        <v>0.71279747908527524</v>
      </c>
      <c r="I97">
        <v>0.74790000000000001</v>
      </c>
      <c r="J97" s="2" t="e">
        <f>IF(#REF!,+C97/I97&gt;0,LOTUS_ERR(+C97/I97))</f>
        <v>#REF!</v>
      </c>
      <c r="K97">
        <f t="shared" si="14"/>
        <v>1.1476680165079487</v>
      </c>
      <c r="M97">
        <v>2568.3684222378301</v>
      </c>
      <c r="N97">
        <f t="shared" si="17"/>
        <v>93.271329110042302</v>
      </c>
      <c r="O97">
        <v>167.10009803280099</v>
      </c>
      <c r="P97" s="3">
        <f t="shared" si="18"/>
        <v>0.3900562512436998</v>
      </c>
      <c r="Q97">
        <v>174.05</v>
      </c>
      <c r="R97" s="3">
        <f>IF(Q97&gt;0,+Q97/C97,NA())</f>
        <v>0.40627917833800192</v>
      </c>
      <c r="S97" s="3">
        <v>0.52085843373494001</v>
      </c>
      <c r="V97">
        <v>67.052161865514606</v>
      </c>
    </row>
    <row r="98" spans="1:22">
      <c r="A98">
        <v>1782</v>
      </c>
      <c r="B98" s="2">
        <v>27.589687859089999</v>
      </c>
      <c r="C98">
        <v>446.82</v>
      </c>
      <c r="D98" s="2">
        <f t="shared" si="11"/>
        <v>16.195181412782304</v>
      </c>
      <c r="E98">
        <v>23.82</v>
      </c>
      <c r="F98">
        <f t="shared" si="16"/>
        <v>22.369999999999997</v>
      </c>
      <c r="G98">
        <f t="shared" si="13"/>
        <v>19.974072418417524</v>
      </c>
      <c r="H98">
        <f t="shared" si="15"/>
        <v>0.72396877124641512</v>
      </c>
      <c r="I98">
        <v>0.74909999999999999</v>
      </c>
      <c r="J98" s="2" t="e">
        <f>IF(#REF!,+C98/I98&gt;0,LOTUS_ERR(+C98/I98))</f>
        <v>#REF!</v>
      </c>
      <c r="K98">
        <f t="shared" si="14"/>
        <v>1.1927942205877786</v>
      </c>
      <c r="M98">
        <v>2770.05391788424</v>
      </c>
      <c r="N98">
        <f t="shared" si="17"/>
        <v>100.40178533486336</v>
      </c>
      <c r="O98">
        <v>182.039169554377</v>
      </c>
      <c r="P98" s="3">
        <f t="shared" si="18"/>
        <v>0.40741052225589053</v>
      </c>
      <c r="S98" s="3">
        <v>0.53498002179440596</v>
      </c>
      <c r="V98">
        <v>84.624531148498406</v>
      </c>
    </row>
    <row r="99" spans="1:22">
      <c r="A99">
        <v>1783</v>
      </c>
      <c r="B99" s="2">
        <v>27.6428492556091</v>
      </c>
      <c r="C99">
        <v>452.14</v>
      </c>
      <c r="D99" s="2">
        <f t="shared" si="11"/>
        <v>16.356490455058818</v>
      </c>
      <c r="E99">
        <v>23.45</v>
      </c>
      <c r="F99">
        <f t="shared" si="16"/>
        <v>23.068000000000001</v>
      </c>
      <c r="G99">
        <f t="shared" si="13"/>
        <v>19.600312120686663</v>
      </c>
      <c r="H99">
        <f t="shared" si="15"/>
        <v>0.70905542114872622</v>
      </c>
      <c r="I99">
        <v>0.74929999999999997</v>
      </c>
      <c r="J99" s="2" t="e">
        <f>IF(#REF!,+C99/I99&gt;0,LOTUS_ERR(+C99/I99))</f>
        <v>#REF!</v>
      </c>
      <c r="K99">
        <f t="shared" si="14"/>
        <v>1.2043532751589165</v>
      </c>
      <c r="M99">
        <v>2920.49902195498</v>
      </c>
      <c r="N99">
        <f t="shared" si="17"/>
        <v>105.65115755433105</v>
      </c>
      <c r="O99">
        <v>201.79458297667699</v>
      </c>
      <c r="P99" s="3">
        <f t="shared" si="18"/>
        <v>0.44630995482964791</v>
      </c>
      <c r="S99" s="3">
        <v>0.63532381478267697</v>
      </c>
      <c r="V99">
        <v>93.958122958557496</v>
      </c>
    </row>
    <row r="100" spans="1:22">
      <c r="A100">
        <v>1784</v>
      </c>
      <c r="B100" s="2">
        <v>27.696010652128301</v>
      </c>
      <c r="C100" s="14">
        <f>+Revenues!G16</f>
        <v>454.1</v>
      </c>
      <c r="D100" s="2">
        <f t="shared" ref="D100:D110" si="19">IF(C100&gt;0,C100/B100,NA())</f>
        <v>16.395863133635267</v>
      </c>
      <c r="E100">
        <v>23.93</v>
      </c>
      <c r="F100">
        <f t="shared" si="16"/>
        <v>23.282</v>
      </c>
      <c r="G100">
        <f t="shared" si="13"/>
        <v>19.504338115282192</v>
      </c>
      <c r="H100">
        <f t="shared" si="15"/>
        <v>0.70422915272035336</v>
      </c>
      <c r="I100">
        <v>0.76419999999999999</v>
      </c>
      <c r="J100" s="2" t="e">
        <f>IF(#REF!,+C100/I100&gt;0,LOTUS_ERR(+C100/I100))</f>
        <v>#REF!</v>
      </c>
      <c r="K100">
        <f t="shared" si="14"/>
        <v>1.1837139261882146</v>
      </c>
      <c r="M100">
        <v>3025.2747880232</v>
      </c>
      <c r="N100">
        <f t="shared" si="17"/>
        <v>109.23142780459332</v>
      </c>
      <c r="O100">
        <v>211.146128093653</v>
      </c>
      <c r="P100" s="3">
        <f t="shared" si="18"/>
        <v>0.46497715942227041</v>
      </c>
      <c r="S100" s="3">
        <v>0.65672771303163302</v>
      </c>
      <c r="V100">
        <v>92.730245007097906</v>
      </c>
    </row>
    <row r="101" spans="1:22">
      <c r="A101">
        <v>1785</v>
      </c>
      <c r="B101" s="2">
        <v>27.749172048647502</v>
      </c>
      <c r="C101" s="14">
        <f>+Revenues!G17</f>
        <v>457.40000000000003</v>
      </c>
      <c r="D101" s="2">
        <f t="shared" si="19"/>
        <v>16.483374682247277</v>
      </c>
      <c r="E101">
        <v>23.15</v>
      </c>
      <c r="F101">
        <f t="shared" si="16"/>
        <v>22.937999999999999</v>
      </c>
      <c r="G101">
        <f t="shared" si="13"/>
        <v>19.940709739297237</v>
      </c>
      <c r="H101">
        <f t="shared" si="15"/>
        <v>0.71860557512630907</v>
      </c>
      <c r="I101">
        <v>0.77939999999999998</v>
      </c>
      <c r="J101" s="2" t="e">
        <f>IF(#REF!,+C101/I101&gt;0,LOTUS_ERR(+C101/I101))</f>
        <v>#REF!</v>
      </c>
      <c r="K101">
        <f t="shared" si="14"/>
        <v>1.1668236825867657</v>
      </c>
      <c r="M101">
        <v>3266.3367979887598</v>
      </c>
      <c r="N101">
        <f t="shared" si="17"/>
        <v>117.70934254407643</v>
      </c>
      <c r="O101">
        <v>239.41691625606501</v>
      </c>
      <c r="P101" s="3">
        <f t="shared" si="18"/>
        <v>0.52343007489301485</v>
      </c>
      <c r="S101" s="3">
        <v>0.59438397629934903</v>
      </c>
      <c r="V101">
        <v>91.521167898781997</v>
      </c>
    </row>
    <row r="102" spans="1:22">
      <c r="A102">
        <v>1786</v>
      </c>
      <c r="B102" s="2">
        <v>27.802333445166699</v>
      </c>
      <c r="C102">
        <v>460.87</v>
      </c>
      <c r="D102" s="2">
        <f t="shared" si="19"/>
        <v>16.576666160376551</v>
      </c>
      <c r="E102">
        <v>22.06</v>
      </c>
      <c r="F102">
        <f t="shared" si="16"/>
        <v>23.270000000000003</v>
      </c>
      <c r="G102">
        <f t="shared" si="13"/>
        <v>19.805328749462824</v>
      </c>
      <c r="H102">
        <f t="shared" si="15"/>
        <v>0.7123621040127438</v>
      </c>
      <c r="I102">
        <v>0.78410000000000002</v>
      </c>
      <c r="J102" s="2" t="e">
        <f>IF(#REF!,+C102/I102&gt;0,LOTUS_ERR(+C102/I102))</f>
        <v>#REF!</v>
      </c>
      <c r="K102">
        <f t="shared" si="14"/>
        <v>1.166393910044879</v>
      </c>
      <c r="M102">
        <v>3322.8561665431198</v>
      </c>
      <c r="N102">
        <f t="shared" si="17"/>
        <v>119.51716833756565</v>
      </c>
      <c r="O102">
        <v>241.94579463678301</v>
      </c>
      <c r="P102" s="3">
        <f t="shared" si="18"/>
        <v>0.52497622895129425</v>
      </c>
      <c r="S102" s="3">
        <v>0.62186803095894005</v>
      </c>
      <c r="V102">
        <v>90.330583274714897</v>
      </c>
    </row>
    <row r="103" spans="1:22">
      <c r="A103">
        <v>1787</v>
      </c>
      <c r="B103" s="2">
        <v>27.8554948416859</v>
      </c>
      <c r="C103">
        <v>467.14</v>
      </c>
      <c r="D103" s="2">
        <f t="shared" si="19"/>
        <v>16.770120317551221</v>
      </c>
      <c r="E103">
        <v>22.1</v>
      </c>
      <c r="F103">
        <f t="shared" si="16"/>
        <v>25.308</v>
      </c>
      <c r="G103">
        <f t="shared" si="13"/>
        <v>18.458195037142406</v>
      </c>
      <c r="H103">
        <f t="shared" si="15"/>
        <v>0.66264107466221045</v>
      </c>
      <c r="I103">
        <v>0.80059999999999998</v>
      </c>
      <c r="J103" s="2" t="e">
        <f>IF(#REF!,+C103/I103&gt;0,LOTUS_ERR(+C103/I103))</f>
        <v>#REF!</v>
      </c>
      <c r="K103">
        <f t="shared" si="14"/>
        <v>1.1556866559565815</v>
      </c>
      <c r="M103">
        <v>3446.7109626460801</v>
      </c>
      <c r="N103">
        <f t="shared" si="17"/>
        <v>123.73540596694259</v>
      </c>
      <c r="O103">
        <v>260.89293387144801</v>
      </c>
      <c r="P103" s="3">
        <f t="shared" si="18"/>
        <v>0.55848981862278546</v>
      </c>
      <c r="S103" s="3">
        <v>0.56476022609858401</v>
      </c>
      <c r="V103">
        <v>95.433187998222607</v>
      </c>
    </row>
    <row r="104" spans="1:22">
      <c r="A104">
        <v>1788</v>
      </c>
      <c r="B104" s="2">
        <v>27.908656238205101</v>
      </c>
      <c r="C104">
        <v>472.42</v>
      </c>
      <c r="D104" s="2">
        <f t="shared" si="19"/>
        <v>16.927364612893413</v>
      </c>
      <c r="E104">
        <v>25.11</v>
      </c>
      <c r="F104">
        <f t="shared" si="16"/>
        <v>26.75</v>
      </c>
      <c r="G104">
        <f t="shared" si="13"/>
        <v>17.660560747663553</v>
      </c>
      <c r="H104">
        <f t="shared" si="15"/>
        <v>0.63279867711751081</v>
      </c>
      <c r="I104">
        <v>0.80149999999999999</v>
      </c>
      <c r="J104" s="2" t="e">
        <f>IF(#REF!,+C104/I104&gt;0,LOTUS_ERR(+C104/I104))</f>
        <v>#REF!</v>
      </c>
      <c r="K104">
        <f t="shared" si="14"/>
        <v>1.1652130188062857</v>
      </c>
      <c r="M104">
        <v>3566.0439999999999</v>
      </c>
      <c r="N104">
        <f t="shared" si="17"/>
        <v>127.77555356170542</v>
      </c>
      <c r="O104">
        <v>271.53700144951802</v>
      </c>
      <c r="P104" s="3">
        <f t="shared" si="18"/>
        <v>0.57477880159501715</v>
      </c>
      <c r="Q104">
        <v>278</v>
      </c>
      <c r="R104" s="3">
        <f>IF(Q104&gt;0,+Q104/C104,NA())</f>
        <v>0.58845942170102872</v>
      </c>
      <c r="S104" s="3">
        <v>0.560641277787711</v>
      </c>
      <c r="V104">
        <v>94.552738758055497</v>
      </c>
    </row>
    <row r="105" spans="1:22">
      <c r="A105">
        <v>1789</v>
      </c>
      <c r="B105" s="2">
        <v>27.961817634724301</v>
      </c>
      <c r="C105">
        <v>129.27600000000001</v>
      </c>
      <c r="D105" s="2">
        <f t="shared" si="19"/>
        <v>4.6233045966031545</v>
      </c>
      <c r="E105">
        <v>34.119999999999997</v>
      </c>
      <c r="F105">
        <f t="shared" si="16"/>
        <v>27.4</v>
      </c>
      <c r="G105">
        <f t="shared" ref="G105:G107" si="20">C105/F105*C105/C105</f>
        <v>4.7181021897810229</v>
      </c>
      <c r="H105">
        <f t="shared" si="15"/>
        <v>0.16873374440157499</v>
      </c>
      <c r="I105">
        <v>0.80840000000000001</v>
      </c>
      <c r="J105" s="2" t="e">
        <f>IF(#REF!,+C105/I105&gt;0,LOTUS_ERR(+C105/I105))</f>
        <v>#REF!</v>
      </c>
      <c r="K105">
        <f t="shared" si="14"/>
        <v>0.31553366954229123</v>
      </c>
      <c r="M105">
        <v>3703.1948004434598</v>
      </c>
      <c r="N105">
        <f t="shared" si="17"/>
        <v>132.43755641423891</v>
      </c>
      <c r="O105">
        <v>282.27027848184701</v>
      </c>
      <c r="S105" s="3">
        <v>0.56542084108224899</v>
      </c>
      <c r="U105">
        <v>52.12</v>
      </c>
      <c r="V105">
        <v>105.71</v>
      </c>
    </row>
    <row r="106" spans="1:22">
      <c r="A106">
        <v>1790</v>
      </c>
      <c r="B106" s="2">
        <v>28.014979031243399</v>
      </c>
      <c r="C106">
        <v>143.83949999999999</v>
      </c>
      <c r="D106" s="2">
        <f t="shared" si="19"/>
        <v>5.1343782852589168</v>
      </c>
      <c r="E106">
        <v>30.36</v>
      </c>
      <c r="F106">
        <f t="shared" si="16"/>
        <v>29.878000000000004</v>
      </c>
      <c r="G106">
        <f t="shared" si="20"/>
        <v>4.8142278599638519</v>
      </c>
      <c r="H106">
        <f t="shared" si="15"/>
        <v>0.17184477827360989</v>
      </c>
      <c r="I106">
        <v>0.82789999999999997</v>
      </c>
      <c r="J106" s="2" t="e">
        <f>IF(#REF!,+C106/I106&gt;0,LOTUS_ERR(+C106/I106))</f>
        <v>#REF!</v>
      </c>
      <c r="K106">
        <f t="shared" si="14"/>
        <v>0.3421601963458486</v>
      </c>
      <c r="S106" s="3">
        <v>0.55072293405430806</v>
      </c>
      <c r="V106">
        <v>104.544977331769</v>
      </c>
    </row>
    <row r="107" spans="1:22">
      <c r="A107">
        <v>1791</v>
      </c>
      <c r="B107" s="2">
        <v>28.013999999999999</v>
      </c>
      <c r="C107">
        <v>237.6953</v>
      </c>
      <c r="D107" s="2">
        <f t="shared" si="19"/>
        <v>8.4848754194331413</v>
      </c>
      <c r="E107">
        <v>25.31</v>
      </c>
      <c r="F107">
        <f>AVERAGEA(E105:E108)</f>
        <v>31.07</v>
      </c>
      <c r="G107">
        <f t="shared" si="20"/>
        <v>7.6503154168007725</v>
      </c>
      <c r="H107">
        <f t="shared" si="15"/>
        <v>0.27308900609697911</v>
      </c>
      <c r="I107">
        <v>0.83660000000000001</v>
      </c>
      <c r="J107" s="2" t="e">
        <f>IF(#REF!,+C107/I107&gt;0,LOTUS_ERR(+C107/I107))</f>
        <v>#REF!</v>
      </c>
      <c r="K107">
        <f t="shared" si="14"/>
        <v>0.55956058547973764</v>
      </c>
      <c r="S107" s="3">
        <v>0.50956446557873103</v>
      </c>
      <c r="V107">
        <v>102.255</v>
      </c>
    </row>
    <row r="108" spans="1:22">
      <c r="A108">
        <v>1792</v>
      </c>
      <c r="B108" s="2">
        <v>28.193000000000001</v>
      </c>
      <c r="C108">
        <v>321.73099999999999</v>
      </c>
      <c r="D108" s="2">
        <f t="shared" si="19"/>
        <v>11.411733409002235</v>
      </c>
      <c r="E108">
        <v>34.49</v>
      </c>
      <c r="I108">
        <v>0.85</v>
      </c>
      <c r="J108" s="2" t="e">
        <f>IF(#REF!,+C108/I108&gt;0,LOTUS_ERR(+C108/I108))</f>
        <v>#REF!</v>
      </c>
      <c r="K108">
        <f t="shared" si="14"/>
        <v>0.7407168050412285</v>
      </c>
      <c r="S108" s="3">
        <v>0.50034933089697398</v>
      </c>
      <c r="V108">
        <v>100.617</v>
      </c>
    </row>
    <row r="109" spans="1:22">
      <c r="A109">
        <v>1793</v>
      </c>
      <c r="B109" s="2">
        <v>28.576000000000001</v>
      </c>
      <c r="C109">
        <v>208.57499999999999</v>
      </c>
      <c r="D109" s="2">
        <f t="shared" si="19"/>
        <v>7.2989571668533033</v>
      </c>
      <c r="G109" t="s">
        <v>60</v>
      </c>
      <c r="I109">
        <v>0.85570000000000002</v>
      </c>
      <c r="J109" s="2" t="e">
        <f>IF(#REF!,+C109/I109&gt;0,LOTUS_ERR(+C109/I109))</f>
        <v>#REF!</v>
      </c>
      <c r="K109">
        <f t="shared" si="14"/>
        <v>0.47060744033106677</v>
      </c>
      <c r="Q109">
        <v>228.4</v>
      </c>
      <c r="R109" s="3"/>
      <c r="S109" s="3">
        <v>0.50460537201478095</v>
      </c>
    </row>
    <row r="110" spans="1:22">
      <c r="A110">
        <v>1794</v>
      </c>
      <c r="B110" s="2">
        <v>31.604390466224899</v>
      </c>
      <c r="C110">
        <v>207.40700000000001</v>
      </c>
      <c r="D110" s="2">
        <f t="shared" si="19"/>
        <v>6.562600858309624</v>
      </c>
      <c r="I110">
        <v>0.84650000000000003</v>
      </c>
      <c r="J110" s="2" t="e">
        <f>IF(#REF!,+C110/I110&gt;0,LOTUS_ERR(+C110/I110))</f>
        <v>#REF!</v>
      </c>
      <c r="K110">
        <f t="shared" si="14"/>
        <v>0.42772884064877731</v>
      </c>
      <c r="S110" s="3">
        <v>0.52300875507153499</v>
      </c>
    </row>
    <row r="111" spans="1:22">
      <c r="A111">
        <v>1795</v>
      </c>
      <c r="B111" s="2">
        <v>31.629763988126498</v>
      </c>
      <c r="I111">
        <v>0.85340000000000005</v>
      </c>
      <c r="J111" s="2" t="e">
        <f>IF(#REF!,+C111/I111&gt;0,LOTUS_ERR(+C111/I111))</f>
        <v>#REF!</v>
      </c>
      <c r="S111" s="3">
        <v>0.54951976066761099</v>
      </c>
    </row>
    <row r="112" spans="1:22">
      <c r="A112">
        <v>1796</v>
      </c>
      <c r="B112" s="2">
        <v>31.855401441629301</v>
      </c>
      <c r="I112">
        <v>0.87319999999999998</v>
      </c>
      <c r="J112" s="2" t="e">
        <f>IF(#REF!,+C112/I112&gt;0,LOTUS_ERR(+C112/I112))</f>
        <v>#REF!</v>
      </c>
      <c r="S112" s="3">
        <v>0.59831880769429102</v>
      </c>
    </row>
    <row r="113" spans="1:27">
      <c r="A113">
        <v>1797</v>
      </c>
      <c r="B113" s="2">
        <v>32.082673356646197</v>
      </c>
      <c r="C113">
        <v>284.05700000000002</v>
      </c>
      <c r="D113" s="2">
        <f t="shared" ref="D113:D144" si="21">C113/B113</f>
        <v>8.8539068064025663</v>
      </c>
      <c r="E113">
        <v>30.38</v>
      </c>
      <c r="I113">
        <v>0.87849999999999995</v>
      </c>
      <c r="J113" s="2" t="e">
        <f>IF(#REF!,+C113/I113&gt;0,LOTUS_ERR(+C113/I113))</f>
        <v>#REF!</v>
      </c>
      <c r="K113">
        <f t="shared" ref="K113:K144" si="22">D113/I113*I$42/D$42</f>
        <v>0.55604851678107914</v>
      </c>
      <c r="Q113">
        <v>163.03</v>
      </c>
      <c r="R113" s="3">
        <f t="shared" ref="R113:R137" si="23">IF(Q113&gt;0,+Q113/C113,NA())</f>
        <v>0.57393410477474593</v>
      </c>
      <c r="S113" s="3">
        <v>0.63582787652011197</v>
      </c>
      <c r="V113">
        <v>43.317999999999998</v>
      </c>
    </row>
    <row r="114" spans="1:27">
      <c r="A114">
        <v>1798</v>
      </c>
      <c r="B114" s="2">
        <v>32.5145918654177</v>
      </c>
      <c r="C114">
        <v>467.7</v>
      </c>
      <c r="D114" s="2">
        <f t="shared" si="21"/>
        <v>14.384310956012415</v>
      </c>
      <c r="E114">
        <v>26.62</v>
      </c>
      <c r="I114">
        <v>0.89439999999999997</v>
      </c>
      <c r="J114" s="2" t="e">
        <f>IF(#REF!,+C114/I114&gt;0,LOTUS_ERR(+C114/I114))</f>
        <v>#REF!</v>
      </c>
      <c r="K114">
        <f t="shared" si="22"/>
        <v>0.88731286527575648</v>
      </c>
      <c r="Q114">
        <f>36.12+12.77</f>
        <v>48.89</v>
      </c>
      <c r="R114" s="3">
        <f t="shared" si="23"/>
        <v>0.10453282018387856</v>
      </c>
      <c r="S114" s="3">
        <v>0.59485637942551794</v>
      </c>
    </row>
    <row r="115" spans="1:27">
      <c r="A115">
        <v>1799</v>
      </c>
      <c r="B115" s="2">
        <v>32.746590193839403</v>
      </c>
      <c r="C115">
        <v>426.18</v>
      </c>
      <c r="D115" s="2">
        <f t="shared" si="21"/>
        <v>13.014484789936297</v>
      </c>
      <c r="E115">
        <v>25.27</v>
      </c>
      <c r="F115">
        <f t="shared" ref="F115:F131" si="24">AVERAGEA(E113:E117)</f>
        <v>29.788</v>
      </c>
      <c r="G115">
        <f t="shared" ref="G115:G132" si="25">C115/F115*C115/C115</f>
        <v>14.307103531623472</v>
      </c>
      <c r="H115">
        <f t="shared" ref="H115:H132" si="26">D115/F115</f>
        <v>0.43690361185498511</v>
      </c>
      <c r="I115">
        <v>0.9</v>
      </c>
      <c r="J115" s="2" t="e">
        <f>IF(#REF!,+C115/I115&gt;0,LOTUS_ERR(+C115/I115))</f>
        <v>#REF!</v>
      </c>
      <c r="K115">
        <f t="shared" si="22"/>
        <v>0.79781826887699969</v>
      </c>
      <c r="R115" s="3" t="e">
        <f t="shared" si="23"/>
        <v>#N/A</v>
      </c>
      <c r="S115" s="3">
        <v>0.53034641160368801</v>
      </c>
      <c r="Z115" t="s">
        <v>59</v>
      </c>
      <c r="AA115" t="s">
        <v>58</v>
      </c>
    </row>
    <row r="116" spans="1:27">
      <c r="A116">
        <v>1800</v>
      </c>
      <c r="B116" s="2">
        <v>32.98026960923</v>
      </c>
      <c r="C116">
        <v>414.43</v>
      </c>
      <c r="D116" s="2">
        <f t="shared" si="21"/>
        <v>12.565997940902697</v>
      </c>
      <c r="E116">
        <v>31.73</v>
      </c>
      <c r="F116">
        <f t="shared" si="24"/>
        <v>31.298000000000002</v>
      </c>
      <c r="G116">
        <f t="shared" si="25"/>
        <v>13.241421177072016</v>
      </c>
      <c r="H116">
        <f t="shared" si="26"/>
        <v>0.40149523742420273</v>
      </c>
      <c r="I116">
        <v>0.89790000000000003</v>
      </c>
      <c r="J116" s="2" t="e">
        <f>IF(#REF!,+C116/I116&gt;0,LOTUS_ERR(+C116/I116))</f>
        <v>#REF!</v>
      </c>
      <c r="K116">
        <f t="shared" si="22"/>
        <v>0.77212660786074083</v>
      </c>
      <c r="Q116">
        <v>89.626000000000005</v>
      </c>
      <c r="R116" s="3">
        <f t="shared" si="23"/>
        <v>0.21626330140192554</v>
      </c>
    </row>
    <row r="117" spans="1:27">
      <c r="A117">
        <v>1801</v>
      </c>
      <c r="B117" s="2">
        <v>34.612441178957603</v>
      </c>
      <c r="C117">
        <f>308.297+164.069</f>
        <v>472.36599999999999</v>
      </c>
      <c r="D117" s="2">
        <f t="shared" si="21"/>
        <v>13.647289353493266</v>
      </c>
      <c r="E117">
        <v>34.94</v>
      </c>
      <c r="F117">
        <f t="shared" si="24"/>
        <v>33.631999999999998</v>
      </c>
      <c r="G117">
        <f t="shared" si="25"/>
        <v>14.045135585156993</v>
      </c>
      <c r="H117">
        <f t="shared" si="26"/>
        <v>0.40578286612432407</v>
      </c>
      <c r="I117">
        <v>0.90849999999999997</v>
      </c>
      <c r="J117" s="2" t="e">
        <f>IF(#REF!,+C117/I117&gt;0,LOTUS_ERR(+C117/I117))</f>
        <v>#REF!</v>
      </c>
      <c r="K117">
        <f t="shared" si="22"/>
        <v>0.82878326687453963</v>
      </c>
      <c r="Q117">
        <f>AA117-Z117</f>
        <v>89.552999999999997</v>
      </c>
      <c r="R117" s="3">
        <f t="shared" si="23"/>
        <v>0.18958392432986287</v>
      </c>
      <c r="S117" s="3">
        <v>0.53028336235554896</v>
      </c>
      <c r="U117">
        <v>35.677999999999997</v>
      </c>
      <c r="V117">
        <v>19.902999999999999</v>
      </c>
      <c r="W117">
        <f t="shared" ref="W117:W131" si="27">AA117-Z117-V117-U117</f>
        <v>33.972000000000008</v>
      </c>
      <c r="Z117">
        <v>18.905000000000001</v>
      </c>
      <c r="AA117">
        <v>108.458</v>
      </c>
    </row>
    <row r="118" spans="1:27">
      <c r="A118">
        <v>1802</v>
      </c>
      <c r="B118" s="2">
        <v>34.725343853028001</v>
      </c>
      <c r="C118">
        <f>325.071+192.717</f>
        <v>517.78800000000001</v>
      </c>
      <c r="D118" s="2">
        <f t="shared" si="21"/>
        <v>14.910953861004018</v>
      </c>
      <c r="E118">
        <v>37.93</v>
      </c>
      <c r="F118">
        <f t="shared" si="24"/>
        <v>34.564</v>
      </c>
      <c r="G118">
        <f t="shared" si="25"/>
        <v>14.980557805809513</v>
      </c>
      <c r="H118">
        <f t="shared" si="26"/>
        <v>0.43140128055213567</v>
      </c>
      <c r="I118">
        <v>0.91</v>
      </c>
      <c r="J118" s="2" t="e">
        <f>IF(#REF!,+C118/I118&gt;0,LOTUS_ERR(+C118/I118))</f>
        <v>#REF!</v>
      </c>
      <c r="K118">
        <f t="shared" si="22"/>
        <v>0.90403145180536748</v>
      </c>
      <c r="Q118">
        <f>AA118-Z118</f>
        <v>73.829000000000008</v>
      </c>
      <c r="R118" s="3">
        <f t="shared" si="23"/>
        <v>0.14258538243450988</v>
      </c>
      <c r="S118" s="3">
        <v>0.55431754874651795</v>
      </c>
      <c r="U118">
        <v>38.731999999999999</v>
      </c>
      <c r="V118">
        <v>20.62</v>
      </c>
      <c r="W118">
        <f t="shared" si="27"/>
        <v>14.477000000000004</v>
      </c>
      <c r="Z118">
        <v>15.377000000000001</v>
      </c>
      <c r="AA118">
        <v>89.206000000000003</v>
      </c>
    </row>
    <row r="119" spans="1:27">
      <c r="A119">
        <v>1803</v>
      </c>
      <c r="B119" s="2">
        <v>37.316714415528203</v>
      </c>
      <c r="C119">
        <f>360.203+226.954</f>
        <v>587.15699999999993</v>
      </c>
      <c r="D119" s="2">
        <f t="shared" si="21"/>
        <v>15.734423815073939</v>
      </c>
      <c r="E119">
        <v>38.29</v>
      </c>
      <c r="F119">
        <f t="shared" si="24"/>
        <v>34.158000000000001</v>
      </c>
      <c r="G119">
        <f t="shared" si="25"/>
        <v>17.189443175829965</v>
      </c>
      <c r="H119">
        <f t="shared" si="26"/>
        <v>0.46063656581398027</v>
      </c>
      <c r="I119">
        <v>0.92390000000000005</v>
      </c>
      <c r="J119" s="2" t="e">
        <f>IF(#REF!,+C119/I119&gt;0,LOTUS_ERR(+C119/I119))</f>
        <v>#REF!</v>
      </c>
      <c r="K119">
        <f t="shared" si="22"/>
        <v>0.93960513788470434</v>
      </c>
      <c r="Q119">
        <f>AA119-Z119</f>
        <v>75.625</v>
      </c>
      <c r="R119" s="3">
        <f t="shared" si="23"/>
        <v>0.12879860071497062</v>
      </c>
      <c r="S119" s="3">
        <v>0.54545454545454497</v>
      </c>
      <c r="U119">
        <v>42.625</v>
      </c>
      <c r="V119">
        <v>19.992000000000001</v>
      </c>
      <c r="W119">
        <f t="shared" si="27"/>
        <v>13.007999999999996</v>
      </c>
      <c r="Z119">
        <v>16.608000000000001</v>
      </c>
      <c r="AA119">
        <v>92.233000000000004</v>
      </c>
    </row>
    <row r="120" spans="1:27">
      <c r="A120">
        <v>1804</v>
      </c>
      <c r="B120" s="2">
        <v>37.434089050460798</v>
      </c>
      <c r="C120">
        <f>235.267+372.769</f>
        <v>608.03600000000006</v>
      </c>
      <c r="D120" s="2">
        <f t="shared" si="21"/>
        <v>16.242842164006536</v>
      </c>
      <c r="E120">
        <v>29.93</v>
      </c>
      <c r="F120">
        <f t="shared" si="24"/>
        <v>33.200000000000003</v>
      </c>
      <c r="G120">
        <f t="shared" si="25"/>
        <v>18.31433734939759</v>
      </c>
      <c r="H120">
        <f t="shared" si="26"/>
        <v>0.48924223385561849</v>
      </c>
      <c r="I120">
        <v>0.93820000000000003</v>
      </c>
      <c r="J120" s="2" t="e">
        <f>IF(#REF!,+C120/I120&gt;0,LOTUS_ERR(+C120/I120))</f>
        <v>#REF!</v>
      </c>
      <c r="K120">
        <f t="shared" si="22"/>
        <v>0.95518193809698693</v>
      </c>
      <c r="Q120">
        <f>AA120-Z120</f>
        <v>99.919000000000011</v>
      </c>
      <c r="R120" s="3">
        <f t="shared" si="23"/>
        <v>0.16433073041727791</v>
      </c>
      <c r="S120" s="3">
        <v>0.52941176470588203</v>
      </c>
      <c r="U120">
        <v>45.180999999999997</v>
      </c>
      <c r="V120">
        <v>19.576000000000001</v>
      </c>
      <c r="W120">
        <f t="shared" si="27"/>
        <v>35.16200000000002</v>
      </c>
      <c r="Z120">
        <v>17.317</v>
      </c>
      <c r="AA120">
        <v>117.236</v>
      </c>
    </row>
    <row r="121" spans="1:27">
      <c r="A121">
        <v>1805</v>
      </c>
      <c r="B121" s="2">
        <v>37.551966973614398</v>
      </c>
      <c r="C121">
        <f>376.161+286.362</f>
        <v>662.52300000000002</v>
      </c>
      <c r="D121" s="2">
        <f t="shared" si="21"/>
        <v>17.642830812711267</v>
      </c>
      <c r="E121">
        <v>29.7</v>
      </c>
      <c r="F121">
        <f t="shared" si="24"/>
        <v>31.503999999999998</v>
      </c>
      <c r="G121">
        <f t="shared" si="25"/>
        <v>21.029805738953787</v>
      </c>
      <c r="H121">
        <f t="shared" si="26"/>
        <v>0.56001875357768116</v>
      </c>
      <c r="I121">
        <v>0.94489999999999996</v>
      </c>
      <c r="J121" s="2" t="e">
        <f>IF(#REF!,+C121/I121&gt;0,LOTUS_ERR(+C121/I121))</f>
        <v>#REF!</v>
      </c>
      <c r="K121">
        <f t="shared" si="22"/>
        <v>1.0301534622824073</v>
      </c>
      <c r="Q121">
        <f>AA121-Z121</f>
        <v>90.102000000000004</v>
      </c>
      <c r="R121" s="3">
        <f t="shared" si="23"/>
        <v>0.13599829741759908</v>
      </c>
      <c r="S121" s="3">
        <v>0.445161290322581</v>
      </c>
      <c r="U121">
        <v>46.674999999999997</v>
      </c>
      <c r="V121">
        <v>19.288</v>
      </c>
      <c r="W121">
        <f t="shared" si="27"/>
        <v>24.13900000000001</v>
      </c>
      <c r="Z121">
        <v>24.890999999999998</v>
      </c>
      <c r="AA121">
        <v>114.99299999999999</v>
      </c>
    </row>
    <row r="122" spans="1:27">
      <c r="A122">
        <v>1806</v>
      </c>
      <c r="B122" s="2">
        <v>37.690444645617099</v>
      </c>
      <c r="C122">
        <f>(495+408.918)*12/15</f>
        <v>723.13440000000003</v>
      </c>
      <c r="D122" s="2">
        <f t="shared" si="21"/>
        <v>19.186146695780387</v>
      </c>
      <c r="E122">
        <v>30.15</v>
      </c>
      <c r="F122">
        <f t="shared" si="24"/>
        <v>29.006</v>
      </c>
      <c r="G122">
        <f t="shared" si="25"/>
        <v>24.930510928773359</v>
      </c>
      <c r="H122">
        <f t="shared" si="26"/>
        <v>0.66145441273462002</v>
      </c>
      <c r="I122">
        <v>0.95079999999999998</v>
      </c>
      <c r="J122" s="2" t="e">
        <f>IF(#REF!,+C122/I122&gt;0,LOTUS_ERR(+C122/I122))</f>
        <v>#REF!</v>
      </c>
      <c r="K122">
        <f t="shared" si="22"/>
        <v>1.1133150852423286</v>
      </c>
      <c r="Q122">
        <f>(AA122-Z122)*12/15</f>
        <v>101.42240000000001</v>
      </c>
      <c r="R122" s="3">
        <f t="shared" si="23"/>
        <v>0.14025387258578767</v>
      </c>
      <c r="S122" s="3">
        <v>0.435546875</v>
      </c>
      <c r="U122">
        <v>48.625999999999998</v>
      </c>
      <c r="V122">
        <v>18.236000000000001</v>
      </c>
      <c r="W122">
        <f t="shared" si="27"/>
        <v>59.916000000000018</v>
      </c>
      <c r="Z122">
        <v>30.140999999999998</v>
      </c>
      <c r="AA122">
        <v>156.91900000000001</v>
      </c>
    </row>
    <row r="123" spans="1:27">
      <c r="A123">
        <v>1807</v>
      </c>
      <c r="B123" s="2">
        <v>37.820222899730901</v>
      </c>
      <c r="C123">
        <f>372.48+381.449</f>
        <v>753.92900000000009</v>
      </c>
      <c r="D123" s="2">
        <f t="shared" si="21"/>
        <v>19.934546710600284</v>
      </c>
      <c r="E123">
        <v>29.45</v>
      </c>
      <c r="F123">
        <f t="shared" si="24"/>
        <v>27.655999999999999</v>
      </c>
      <c r="G123">
        <f t="shared" si="25"/>
        <v>27.260956031240966</v>
      </c>
      <c r="H123">
        <f t="shared" si="26"/>
        <v>0.72080368493637126</v>
      </c>
      <c r="I123">
        <v>0.96779999999999999</v>
      </c>
      <c r="J123" s="2" t="e">
        <f>IF(#REF!,+C123/I123&gt;0,LOTUS_ERR(+C123/I123))</f>
        <v>#REF!</v>
      </c>
      <c r="K123">
        <f t="shared" si="22"/>
        <v>1.1364236233564047</v>
      </c>
      <c r="Q123">
        <f t="shared" ref="Q123:Q131" si="28">AA123-Z123</f>
        <v>84.634</v>
      </c>
      <c r="R123" s="3">
        <f t="shared" si="23"/>
        <v>0.11225725499350733</v>
      </c>
      <c r="S123" s="3">
        <v>0.41651705565529601</v>
      </c>
      <c r="U123">
        <v>53.933999999999997</v>
      </c>
      <c r="V123">
        <v>17.690999999999999</v>
      </c>
      <c r="W123">
        <f t="shared" si="27"/>
        <v>13.009</v>
      </c>
      <c r="Z123">
        <v>31.977</v>
      </c>
      <c r="AA123">
        <v>116.611</v>
      </c>
    </row>
    <row r="124" spans="1:27">
      <c r="A124">
        <v>1808</v>
      </c>
      <c r="B124" s="2">
        <v>39.420483706198397</v>
      </c>
      <c r="C124">
        <f>362.087+360.452</f>
        <v>722.53899999999999</v>
      </c>
      <c r="D124" s="2">
        <f t="shared" si="21"/>
        <v>18.329024204398319</v>
      </c>
      <c r="E124">
        <v>25.8</v>
      </c>
      <c r="F124">
        <f t="shared" si="24"/>
        <v>27.833999999999996</v>
      </c>
      <c r="G124">
        <f t="shared" si="25"/>
        <v>25.958863260760225</v>
      </c>
      <c r="H124">
        <f t="shared" si="26"/>
        <v>0.65851204298334132</v>
      </c>
      <c r="I124">
        <v>0.97670000000000001</v>
      </c>
      <c r="J124" s="2" t="e">
        <f>IF(#REF!,+C124/I124&gt;0,LOTUS_ERR(+C124/I124))</f>
        <v>#REF!</v>
      </c>
      <c r="K124">
        <f t="shared" si="22"/>
        <v>1.0353749730549016</v>
      </c>
      <c r="Q124">
        <f t="shared" si="28"/>
        <v>83.931000000000012</v>
      </c>
      <c r="R124" s="3">
        <f t="shared" si="23"/>
        <v>0.11616120375509144</v>
      </c>
      <c r="S124" s="3">
        <v>0.39799331103678898</v>
      </c>
      <c r="U124">
        <v>55.131999999999998</v>
      </c>
      <c r="V124">
        <v>17.151</v>
      </c>
      <c r="W124">
        <f t="shared" si="27"/>
        <v>11.648000000000017</v>
      </c>
      <c r="Z124">
        <v>31.826000000000001</v>
      </c>
      <c r="AA124">
        <v>115.75700000000001</v>
      </c>
    </row>
    <row r="125" spans="1:27">
      <c r="A125">
        <v>1809</v>
      </c>
      <c r="B125" s="2">
        <v>39.554498944842202</v>
      </c>
      <c r="C125">
        <f>386.881+393.594</f>
        <v>780.47499999999991</v>
      </c>
      <c r="D125" s="2">
        <f t="shared" si="21"/>
        <v>19.731636623392792</v>
      </c>
      <c r="E125">
        <v>23.18</v>
      </c>
      <c r="F125">
        <f t="shared" si="24"/>
        <v>29.956</v>
      </c>
      <c r="G125">
        <f t="shared" si="25"/>
        <v>26.054045934036584</v>
      </c>
      <c r="H125">
        <f t="shared" si="26"/>
        <v>0.65868729547979676</v>
      </c>
      <c r="I125">
        <v>0.98019999999999996</v>
      </c>
      <c r="J125" s="2" t="e">
        <f>IF(#REF!,+C125/I125&gt;0,LOTUS_ERR(+C125/I125))</f>
        <v>#REF!</v>
      </c>
      <c r="K125">
        <f t="shared" si="22"/>
        <v>1.1106262061668002</v>
      </c>
      <c r="Q125">
        <f t="shared" si="28"/>
        <v>87.921999999999997</v>
      </c>
      <c r="R125" s="3">
        <f t="shared" si="23"/>
        <v>0.11265191069540986</v>
      </c>
      <c r="S125" s="3">
        <v>0.36724960254372002</v>
      </c>
      <c r="U125">
        <v>56.137999999999998</v>
      </c>
      <c r="V125">
        <v>16.619</v>
      </c>
      <c r="W125">
        <f t="shared" si="27"/>
        <v>15.164999999999999</v>
      </c>
      <c r="Z125">
        <v>31.968</v>
      </c>
      <c r="AA125">
        <v>119.89</v>
      </c>
    </row>
    <row r="126" spans="1:27">
      <c r="A126">
        <v>1810</v>
      </c>
      <c r="B126" s="2">
        <v>43.962010313247198</v>
      </c>
      <c r="C126">
        <f>386.037+447.019</f>
        <v>833.05600000000004</v>
      </c>
      <c r="D126" s="2">
        <f t="shared" si="21"/>
        <v>18.949451903225928</v>
      </c>
      <c r="E126">
        <v>30.59</v>
      </c>
      <c r="F126">
        <f t="shared" si="24"/>
        <v>34.78</v>
      </c>
      <c r="G126">
        <f t="shared" si="25"/>
        <v>23.952156411730879</v>
      </c>
      <c r="H126">
        <f t="shared" si="26"/>
        <v>0.54483760503812328</v>
      </c>
      <c r="I126">
        <v>0.97270000000000001</v>
      </c>
      <c r="J126" s="2" t="e">
        <f>IF(#REF!,+C126/I126&gt;0,LOTUS_ERR(+C126/I126))</f>
        <v>#REF!</v>
      </c>
      <c r="K126">
        <f t="shared" si="22"/>
        <v>1.0748237221589358</v>
      </c>
      <c r="Q126">
        <f t="shared" si="28"/>
        <v>90.19</v>
      </c>
      <c r="R126" s="3">
        <f t="shared" si="23"/>
        <v>0.1082640302692736</v>
      </c>
      <c r="S126" s="3">
        <v>0.37753510140405599</v>
      </c>
      <c r="U126">
        <v>56.73</v>
      </c>
      <c r="V126">
        <v>16.148</v>
      </c>
      <c r="W126">
        <f t="shared" si="27"/>
        <v>17.312000000000005</v>
      </c>
      <c r="Z126">
        <v>31.068999999999999</v>
      </c>
      <c r="AA126">
        <v>121.259</v>
      </c>
    </row>
    <row r="127" spans="1:27">
      <c r="A127">
        <v>1811</v>
      </c>
      <c r="B127" s="2">
        <v>44.0633677935257</v>
      </c>
      <c r="C127">
        <f>392.201+517.512</f>
        <v>909.71299999999997</v>
      </c>
      <c r="D127" s="2">
        <f t="shared" si="21"/>
        <v>20.645562188137276</v>
      </c>
      <c r="E127">
        <v>40.76</v>
      </c>
      <c r="F127">
        <f t="shared" si="24"/>
        <v>36.641999999999996</v>
      </c>
      <c r="G127">
        <f t="shared" si="25"/>
        <v>24.827056383385184</v>
      </c>
      <c r="H127">
        <f t="shared" si="26"/>
        <v>0.56343982828822881</v>
      </c>
      <c r="I127">
        <v>0.97870000000000001</v>
      </c>
      <c r="J127" s="2" t="e">
        <f>IF(#REF!,+C127/I127&gt;0,LOTUS_ERR(+C127/I127))</f>
        <v>#REF!</v>
      </c>
      <c r="K127">
        <f t="shared" si="22"/>
        <v>1.1638489822538796</v>
      </c>
      <c r="Q127">
        <f t="shared" si="28"/>
        <v>130.06299999999999</v>
      </c>
      <c r="R127" s="3">
        <f t="shared" si="23"/>
        <v>0.14297146462675589</v>
      </c>
      <c r="S127" s="3">
        <v>0.35057471264367801</v>
      </c>
      <c r="U127">
        <v>60.781999999999996</v>
      </c>
      <c r="V127">
        <v>15.923</v>
      </c>
      <c r="W127">
        <f t="shared" si="27"/>
        <v>53.35799999999999</v>
      </c>
      <c r="Z127">
        <v>31.122</v>
      </c>
      <c r="AA127">
        <v>161.185</v>
      </c>
    </row>
    <row r="128" spans="1:27">
      <c r="A128">
        <v>1812</v>
      </c>
      <c r="B128" s="2">
        <v>44.165023881417497</v>
      </c>
      <c r="C128">
        <f>439.696+601.238</f>
        <v>1040.9340000000002</v>
      </c>
      <c r="D128" s="2">
        <f t="shared" si="21"/>
        <v>23.569193640535421</v>
      </c>
      <c r="E128">
        <v>53.57</v>
      </c>
      <c r="F128">
        <f t="shared" si="24"/>
        <v>37.535999999999994</v>
      </c>
      <c r="G128">
        <f t="shared" si="25"/>
        <v>27.731617647058833</v>
      </c>
      <c r="H128">
        <f t="shared" si="26"/>
        <v>0.6279090377380494</v>
      </c>
      <c r="I128">
        <v>0.99970000000000003</v>
      </c>
      <c r="J128" s="2" t="e">
        <f>IF(#REF!,+C128/I128&gt;0,LOTUS_ERR(+C128/I128))</f>
        <v>#REF!</v>
      </c>
      <c r="K128">
        <f t="shared" si="22"/>
        <v>1.3007521082091238</v>
      </c>
      <c r="Q128">
        <f t="shared" si="28"/>
        <v>126.376</v>
      </c>
      <c r="R128" s="3">
        <f t="shared" si="23"/>
        <v>0.12140635237200435</v>
      </c>
      <c r="S128" s="3">
        <v>0.36444444444444402</v>
      </c>
      <c r="U128">
        <v>62.076000000000001</v>
      </c>
      <c r="V128">
        <v>15.571</v>
      </c>
      <c r="W128">
        <f t="shared" si="27"/>
        <v>48.729000000000006</v>
      </c>
      <c r="Z128">
        <v>33.341000000000001</v>
      </c>
      <c r="AA128">
        <v>159.71700000000001</v>
      </c>
    </row>
    <row r="129" spans="1:27">
      <c r="A129">
        <v>1813</v>
      </c>
      <c r="B129" s="2">
        <v>44.2669796706532</v>
      </c>
      <c r="C129">
        <f>392.2+644.38</f>
        <v>1036.58</v>
      </c>
      <c r="D129" s="2">
        <f t="shared" si="21"/>
        <v>23.416551292005149</v>
      </c>
      <c r="E129">
        <v>35.11</v>
      </c>
      <c r="F129">
        <f t="shared" si="24"/>
        <v>37.510000000000005</v>
      </c>
      <c r="G129">
        <f t="shared" si="25"/>
        <v>27.634764062916549</v>
      </c>
      <c r="H129">
        <f t="shared" si="26"/>
        <v>0.62427489448160878</v>
      </c>
      <c r="I129">
        <v>1.002</v>
      </c>
      <c r="J129" s="2" t="e">
        <f>IF(#REF!,+C129/I129&gt;0,LOTUS_ERR(+C129/I129))</f>
        <v>#REF!</v>
      </c>
      <c r="K129">
        <f t="shared" si="22"/>
        <v>1.2893615607055002</v>
      </c>
      <c r="Q129">
        <f t="shared" si="28"/>
        <v>106.93800000000002</v>
      </c>
      <c r="R129" s="3">
        <f t="shared" si="23"/>
        <v>0.1031642516737734</v>
      </c>
      <c r="S129" s="3">
        <v>0.40803709428129797</v>
      </c>
      <c r="U129">
        <v>63.140999999999998</v>
      </c>
      <c r="V129">
        <v>14.961499999999999</v>
      </c>
      <c r="W129">
        <f t="shared" si="27"/>
        <v>28.835500000000017</v>
      </c>
      <c r="Z129">
        <v>41.802999999999997</v>
      </c>
      <c r="AA129">
        <v>148.74100000000001</v>
      </c>
    </row>
    <row r="130" spans="1:27">
      <c r="A130">
        <v>1814</v>
      </c>
      <c r="B130" s="2">
        <v>29.34</v>
      </c>
      <c r="C130">
        <f>291.266+328.196+65.094</f>
        <v>684.55600000000004</v>
      </c>
      <c r="D130" s="2">
        <f t="shared" si="21"/>
        <v>23.331833674164965</v>
      </c>
      <c r="E130">
        <v>27.65</v>
      </c>
      <c r="F130">
        <f t="shared" si="24"/>
        <v>38.190000000000005</v>
      </c>
      <c r="G130">
        <f t="shared" si="25"/>
        <v>17.925006546216284</v>
      </c>
      <c r="H130">
        <f t="shared" si="26"/>
        <v>0.61094091841227971</v>
      </c>
      <c r="I130">
        <v>0.995</v>
      </c>
      <c r="J130" s="2" t="e">
        <f>IF(#REF!,+C130/I130&gt;0,LOTUS_ERR(+C130/I130))</f>
        <v>#REF!</v>
      </c>
      <c r="K130">
        <f t="shared" si="22"/>
        <v>1.2937349095846113</v>
      </c>
      <c r="Q130">
        <f t="shared" si="28"/>
        <v>65.906000000000006</v>
      </c>
      <c r="R130" s="3">
        <f t="shared" si="23"/>
        <v>9.627554210320266E-2</v>
      </c>
      <c r="S130" s="3">
        <v>0.375</v>
      </c>
      <c r="U130">
        <v>63.308</v>
      </c>
      <c r="V130">
        <v>14.352</v>
      </c>
      <c r="W130">
        <f t="shared" si="27"/>
        <v>-11.753999999999998</v>
      </c>
      <c r="Z130">
        <v>43.279000000000003</v>
      </c>
      <c r="AA130">
        <v>109.185</v>
      </c>
    </row>
    <row r="131" spans="1:27">
      <c r="A131">
        <v>1815</v>
      </c>
      <c r="B131" s="2">
        <v>29.38</v>
      </c>
      <c r="C131">
        <f>361.838+341.079</f>
        <v>702.91700000000003</v>
      </c>
      <c r="D131" s="2">
        <f t="shared" si="21"/>
        <v>23.925017018379851</v>
      </c>
      <c r="E131">
        <v>30.46</v>
      </c>
      <c r="F131">
        <f t="shared" si="24"/>
        <v>38.756</v>
      </c>
      <c r="G131">
        <f t="shared" si="25"/>
        <v>18.136985240994942</v>
      </c>
      <c r="H131">
        <f t="shared" si="26"/>
        <v>0.61732420833883406</v>
      </c>
      <c r="I131">
        <v>0.98660000000000003</v>
      </c>
      <c r="J131" s="2" t="e">
        <f>IF(#REF!,+C131/I131&gt;0,LOTUS_ERR(+C131/I131))</f>
        <v>#REF!</v>
      </c>
      <c r="K131">
        <f t="shared" si="22"/>
        <v>1.3379215539942706</v>
      </c>
      <c r="Q131">
        <f t="shared" si="28"/>
        <v>96.016999999999996</v>
      </c>
      <c r="R131" s="3">
        <f t="shared" si="23"/>
        <v>0.13659791981130062</v>
      </c>
      <c r="S131" s="3">
        <v>0.40376850605652798</v>
      </c>
      <c r="U131">
        <v>63.604999999999997</v>
      </c>
      <c r="V131">
        <v>13.946</v>
      </c>
      <c r="W131">
        <f t="shared" si="27"/>
        <v>18.466000000000001</v>
      </c>
      <c r="Z131">
        <v>20.335000000000001</v>
      </c>
      <c r="AA131">
        <v>116.352</v>
      </c>
    </row>
    <row r="132" spans="1:27">
      <c r="A132">
        <f t="shared" ref="A132:A137" si="29">A131+1</f>
        <v>1816</v>
      </c>
      <c r="B132" s="2">
        <v>29.48</v>
      </c>
      <c r="C132">
        <f>402.189+398.805+23.034</f>
        <v>824.02800000000002</v>
      </c>
      <c r="D132" s="2">
        <f t="shared" si="21"/>
        <v>27.952103120759837</v>
      </c>
      <c r="E132">
        <v>44.16</v>
      </c>
      <c r="F132">
        <f>AVERAGEA(E130:E133)</f>
        <v>39.667499999999997</v>
      </c>
      <c r="G132">
        <f t="shared" si="25"/>
        <v>20.773378710531293</v>
      </c>
      <c r="H132">
        <f t="shared" si="26"/>
        <v>0.70466006480771004</v>
      </c>
      <c r="I132">
        <v>0.96889999999999998</v>
      </c>
      <c r="J132" s="2" t="e">
        <f>IF(#REF!,+C132/I132&gt;0,LOTUS_ERR(+C132/I132))</f>
        <v>#REF!</v>
      </c>
      <c r="K132">
        <f t="shared" si="22"/>
        <v>1.5916773639160253</v>
      </c>
      <c r="Q132">
        <v>95.575800000000001</v>
      </c>
      <c r="R132" s="3">
        <f t="shared" si="23"/>
        <v>0.11598610726819962</v>
      </c>
      <c r="S132" s="3">
        <v>0.40966921119592897</v>
      </c>
    </row>
    <row r="133" spans="1:27">
      <c r="A133">
        <f t="shared" si="29"/>
        <v>1817</v>
      </c>
      <c r="B133" s="2">
        <v>29.7</v>
      </c>
      <c r="C133">
        <f>400.817+448.708+17.51</f>
        <v>867.03500000000008</v>
      </c>
      <c r="D133" s="2">
        <f t="shared" si="21"/>
        <v>29.193097643097648</v>
      </c>
      <c r="E133">
        <v>56.4</v>
      </c>
      <c r="I133">
        <v>0.94059999999999999</v>
      </c>
      <c r="J133" s="2" t="e">
        <f>IF(#REF!,+C133/I133&gt;0,LOTUS_ERR(+C133/I133))</f>
        <v>#REF!</v>
      </c>
      <c r="K133">
        <f t="shared" si="22"/>
        <v>1.7123585694466652</v>
      </c>
      <c r="Q133">
        <v>260.50459999999998</v>
      </c>
      <c r="R133" s="3">
        <f t="shared" si="23"/>
        <v>0.30045453759075463</v>
      </c>
      <c r="S133" s="3">
        <v>0.504601226993865</v>
      </c>
    </row>
    <row r="134" spans="1:27">
      <c r="A134">
        <f t="shared" si="29"/>
        <v>1818</v>
      </c>
      <c r="B134" s="2">
        <v>29.88</v>
      </c>
      <c r="C134">
        <f>390.987+483.306+13.42</f>
        <v>887.71299999999997</v>
      </c>
      <c r="D134" s="2">
        <f t="shared" si="21"/>
        <v>29.709270414993306</v>
      </c>
      <c r="I134">
        <v>0.92789999999999995</v>
      </c>
      <c r="J134" s="2" t="e">
        <f>IF(#REF!,+C134/I134&gt;0,LOTUS_ERR(+C134/I134))</f>
        <v>#REF!</v>
      </c>
      <c r="K134">
        <f t="shared" si="22"/>
        <v>1.7664864809172265</v>
      </c>
      <c r="Q134">
        <v>286.74160000000001</v>
      </c>
      <c r="R134" s="3">
        <f t="shared" si="23"/>
        <v>0.32301160397560924</v>
      </c>
      <c r="S134" s="3">
        <v>0.546875</v>
      </c>
    </row>
    <row r="135" spans="1:27">
      <c r="A135">
        <f t="shared" si="29"/>
        <v>1819</v>
      </c>
      <c r="B135" s="2">
        <v>30.06</v>
      </c>
      <c r="C135">
        <f>369.161+477.144+8.351</f>
        <v>854.65600000000006</v>
      </c>
      <c r="D135" s="2">
        <f t="shared" si="21"/>
        <v>28.431669993346642</v>
      </c>
      <c r="I135">
        <v>0.92059999999999997</v>
      </c>
      <c r="J135" s="2" t="e">
        <f>IF(#REF!,+C135/I135&gt;0,LOTUS_ERR(+C135/I135))</f>
        <v>#REF!</v>
      </c>
      <c r="K135">
        <f t="shared" si="22"/>
        <v>1.7039266878369892</v>
      </c>
      <c r="Q135">
        <v>252.54220000000001</v>
      </c>
      <c r="R135" s="3">
        <f t="shared" si="23"/>
        <v>0.29548988130897108</v>
      </c>
      <c r="S135" s="3">
        <v>0.52605042016806702</v>
      </c>
    </row>
    <row r="136" spans="1:27">
      <c r="A136">
        <f t="shared" si="29"/>
        <v>1820</v>
      </c>
      <c r="B136" s="2">
        <v>30.25</v>
      </c>
      <c r="C136">
        <f>369.407+502.322+5.799</f>
        <v>877.52800000000002</v>
      </c>
      <c r="D136" s="2">
        <f t="shared" si="21"/>
        <v>29.009190082644629</v>
      </c>
      <c r="I136">
        <v>0.92830000000000001</v>
      </c>
      <c r="J136" s="2" t="e">
        <f>IF(#REF!,+C136/I136&gt;0,LOTUS_ERR(+C136/I136))</f>
        <v>#REF!</v>
      </c>
      <c r="K136">
        <f t="shared" si="22"/>
        <v>1.7241171004065374</v>
      </c>
      <c r="Q136">
        <v>257.04300000000001</v>
      </c>
      <c r="R136" s="3">
        <f t="shared" si="23"/>
        <v>0.29291714908242245</v>
      </c>
      <c r="S136" s="3">
        <v>0.53528399311531805</v>
      </c>
    </row>
    <row r="137" spans="1:27">
      <c r="A137">
        <f t="shared" si="29"/>
        <v>1821</v>
      </c>
      <c r="B137" s="2">
        <v>30.45</v>
      </c>
      <c r="C137">
        <f>355.245+509.643+3.014</f>
        <v>867.90199999999993</v>
      </c>
      <c r="D137" s="2">
        <f t="shared" si="21"/>
        <v>28.502528735632183</v>
      </c>
      <c r="I137">
        <v>0.91959999999999997</v>
      </c>
      <c r="J137" s="2" t="e">
        <f>IF(#REF!,+C137/I137&gt;0,LOTUS_ERR(+C137/I137))</f>
        <v>#REF!</v>
      </c>
      <c r="K137">
        <f t="shared" si="22"/>
        <v>1.7100308116139447</v>
      </c>
      <c r="Q137">
        <v>258.56670000000003</v>
      </c>
      <c r="R137" s="3">
        <f t="shared" si="23"/>
        <v>0.29792153952865652</v>
      </c>
      <c r="S137" s="3">
        <v>0.53422370617696202</v>
      </c>
    </row>
    <row r="138" spans="1:27">
      <c r="A138">
        <v>1822</v>
      </c>
      <c r="B138" s="2">
        <v>30.7</v>
      </c>
      <c r="C138">
        <f>344.287+526.664</f>
        <v>870.95100000000002</v>
      </c>
      <c r="D138" s="2">
        <f t="shared" si="21"/>
        <v>28.369739413680783</v>
      </c>
      <c r="I138">
        <v>0.9012</v>
      </c>
      <c r="J138" s="2" t="e">
        <f>IF(#REF!,+C138/I138&gt;0,LOTUS_ERR(+C138/I138))</f>
        <v>#REF!</v>
      </c>
      <c r="K138">
        <f t="shared" si="22"/>
        <v>1.7368154335955921</v>
      </c>
      <c r="S138" s="3">
        <v>0.51785714285714302</v>
      </c>
    </row>
    <row r="139" spans="1:27">
      <c r="A139">
        <v>1823</v>
      </c>
      <c r="B139" s="2">
        <v>30.94</v>
      </c>
      <c r="C139">
        <f>343.622+514.817</f>
        <v>858.43900000000008</v>
      </c>
      <c r="D139" s="2">
        <f t="shared" si="21"/>
        <v>27.745281189398838</v>
      </c>
      <c r="I139">
        <v>0.89190000000000003</v>
      </c>
      <c r="J139" s="2" t="e">
        <f>IF(#REF!,+C139/I139&gt;0,LOTUS_ERR(+C139/I139))</f>
        <v>#REF!</v>
      </c>
      <c r="K139">
        <f t="shared" si="22"/>
        <v>1.7162971160960638</v>
      </c>
      <c r="S139" s="3">
        <v>0.52420701168614403</v>
      </c>
    </row>
    <row r="140" spans="1:27">
      <c r="A140">
        <v>1824</v>
      </c>
      <c r="B140" s="2">
        <v>31.19</v>
      </c>
      <c r="C140">
        <f>344.929+556.454</f>
        <v>901.38299999999992</v>
      </c>
      <c r="D140" s="2">
        <f t="shared" si="21"/>
        <v>28.899743507534463</v>
      </c>
      <c r="I140">
        <v>0.90200000000000002</v>
      </c>
      <c r="J140" s="2" t="e">
        <f>IF(#REF!,+C140/I140&gt;0,LOTUS_ERR(+C140/I140))</f>
        <v>#REF!</v>
      </c>
      <c r="K140">
        <f t="shared" si="22"/>
        <v>1.767693466785945</v>
      </c>
      <c r="S140" s="3">
        <v>0.512820512820513</v>
      </c>
    </row>
    <row r="141" spans="1:27">
      <c r="A141">
        <v>1825</v>
      </c>
      <c r="B141" s="2">
        <v>31.41</v>
      </c>
      <c r="C141">
        <f>347.294+567.437</f>
        <v>914.73099999999999</v>
      </c>
      <c r="D141" s="2">
        <f t="shared" si="21"/>
        <v>29.122285896211398</v>
      </c>
      <c r="I141">
        <v>0.91010000000000002</v>
      </c>
      <c r="J141" s="2" t="e">
        <f>IF(#REF!,+C141/I141&gt;0,LOTUS_ERR(+C141/I141))</f>
        <v>#REF!</v>
      </c>
      <c r="K141">
        <f t="shared" si="22"/>
        <v>1.7654517500482363</v>
      </c>
      <c r="S141" s="3">
        <v>0.50586264656616398</v>
      </c>
    </row>
    <row r="142" spans="1:27">
      <c r="A142">
        <v>1826</v>
      </c>
      <c r="B142" s="2">
        <v>31.6</v>
      </c>
      <c r="C142">
        <f>341.86+580.853</f>
        <v>922.71299999999997</v>
      </c>
      <c r="D142" s="2">
        <f t="shared" si="21"/>
        <v>29.199778481012657</v>
      </c>
      <c r="I142">
        <v>0.91569999999999996</v>
      </c>
      <c r="J142" s="2" t="e">
        <f>IF(#REF!,+C142/I142&gt;0,LOTUS_ERR(+C142/I142))</f>
        <v>#REF!</v>
      </c>
      <c r="K142">
        <f t="shared" si="22"/>
        <v>1.7593240867879532</v>
      </c>
      <c r="S142" s="3">
        <v>0.50606585788561498</v>
      </c>
    </row>
    <row r="143" spans="1:27">
      <c r="A143">
        <v>1827</v>
      </c>
      <c r="B143" s="2">
        <v>31.8</v>
      </c>
      <c r="C143">
        <f>323.941+570.785</f>
        <v>894.72599999999989</v>
      </c>
      <c r="D143" s="2">
        <f t="shared" si="21"/>
        <v>28.136037735849051</v>
      </c>
      <c r="I143">
        <v>0.91739999999999999</v>
      </c>
      <c r="J143" s="2" t="e">
        <f>IF(#REF!,+C143/I143&gt;0,LOTUS_ERR(+C143/I143))</f>
        <v>#REF!</v>
      </c>
      <c r="K143">
        <f t="shared" si="22"/>
        <v>1.6920909708670653</v>
      </c>
      <c r="S143" s="3">
        <v>0.52898550724637705</v>
      </c>
    </row>
    <row r="144" spans="1:27">
      <c r="A144">
        <v>1828</v>
      </c>
      <c r="B144" s="2">
        <v>32</v>
      </c>
      <c r="C144">
        <f>325.679+592.63</f>
        <v>918.30899999999997</v>
      </c>
      <c r="D144" s="2">
        <f t="shared" si="21"/>
        <v>28.697156249999999</v>
      </c>
      <c r="I144">
        <v>0.91569999999999996</v>
      </c>
      <c r="J144" s="2" t="e">
        <f>IF(#REF!,+C144/I144&gt;0,LOTUS_ERR(+C144/I144))</f>
        <v>#REF!</v>
      </c>
      <c r="K144">
        <f t="shared" si="22"/>
        <v>1.729040453021667</v>
      </c>
      <c r="S144" s="3">
        <v>0.537477148080439</v>
      </c>
    </row>
    <row r="145" spans="1:19">
      <c r="A145">
        <v>1829</v>
      </c>
      <c r="B145" s="2">
        <v>32.28</v>
      </c>
      <c r="C145">
        <f>327.878+583.558</f>
        <v>911.43599999999992</v>
      </c>
      <c r="D145" s="2">
        <f t="shared" ref="D145:D161" si="30">C145/B145</f>
        <v>28.235315985130107</v>
      </c>
      <c r="I145">
        <v>0.91749999999999998</v>
      </c>
      <c r="J145" s="2" t="e">
        <f>IF(#REF!,+C145/I145&gt;0,LOTUS_ERR(+C145/I145))</f>
        <v>#REF!</v>
      </c>
      <c r="K145">
        <f t="shared" ref="K145:K161" si="31">D145/I145*I$42/D$42</f>
        <v>1.6978764534731337</v>
      </c>
      <c r="S145" s="3">
        <v>0.51858407079645996</v>
      </c>
    </row>
    <row r="146" spans="1:19">
      <c r="A146">
        <v>1830</v>
      </c>
      <c r="B146" s="2">
        <v>32.369999999999997</v>
      </c>
      <c r="C146">
        <f>330.728+574.572</f>
        <v>905.3</v>
      </c>
      <c r="D146" s="2">
        <f t="shared" si="30"/>
        <v>27.967253629904231</v>
      </c>
      <c r="I146">
        <v>0.9133</v>
      </c>
      <c r="J146" s="2" t="e">
        <f>IF(#REF!,+C146/I146&gt;0,LOTUS_ERR(+C146/I146))</f>
        <v>#REF!</v>
      </c>
      <c r="K146">
        <f t="shared" si="31"/>
        <v>1.6894909485242171</v>
      </c>
      <c r="S146" s="3">
        <v>0.52622061482821003</v>
      </c>
    </row>
    <row r="147" spans="1:19">
      <c r="A147">
        <v>1831</v>
      </c>
      <c r="B147" s="2">
        <v>32.57</v>
      </c>
      <c r="C147">
        <f>366.214+524.001+52.928</f>
        <v>943.14299999999992</v>
      </c>
      <c r="D147" s="2">
        <f t="shared" si="30"/>
        <v>28.957414798894686</v>
      </c>
      <c r="I147">
        <v>0.9133</v>
      </c>
      <c r="J147" s="2" t="e">
        <f>IF(#REF!,+C147/I147&gt;0,LOTUS_ERR(+C147/I147))</f>
        <v>#REF!</v>
      </c>
      <c r="K147">
        <f t="shared" si="31"/>
        <v>1.7493062008449101</v>
      </c>
      <c r="S147" s="3">
        <v>0.53577981651376205</v>
      </c>
    </row>
    <row r="148" spans="1:19">
      <c r="A148">
        <v>1832</v>
      </c>
      <c r="B148" s="2">
        <v>32.729999999999997</v>
      </c>
      <c r="C148">
        <f>356.457+554.739+3.363</f>
        <v>914.55900000000008</v>
      </c>
      <c r="D148" s="2">
        <f t="shared" si="30"/>
        <v>27.942529789184238</v>
      </c>
      <c r="I148">
        <v>0.90490000000000004</v>
      </c>
      <c r="J148" s="2" t="e">
        <f>IF(#REF!,+C148/I148&gt;0,LOTUS_ERR(+C148/I148))</f>
        <v>#REF!</v>
      </c>
      <c r="K148">
        <f t="shared" si="31"/>
        <v>1.7036667224021727</v>
      </c>
    </row>
    <row r="149" spans="1:19">
      <c r="A149">
        <v>1833</v>
      </c>
      <c r="B149" s="2">
        <v>32.89</v>
      </c>
      <c r="C149">
        <f>356.068+570.198</f>
        <v>926.26599999999996</v>
      </c>
      <c r="D149" s="2">
        <f t="shared" si="30"/>
        <v>28.162541806020066</v>
      </c>
      <c r="I149">
        <v>0.89990000000000003</v>
      </c>
      <c r="J149" s="2" t="e">
        <f>IF(#REF!,+C149/I149&gt;0,LOTUS_ERR(+C149/I149))</f>
        <v>#REF!</v>
      </c>
      <c r="K149">
        <f t="shared" si="31"/>
        <v>1.7266213377644481</v>
      </c>
    </row>
    <row r="150" spans="1:19">
      <c r="A150">
        <v>1834</v>
      </c>
      <c r="B150" s="2">
        <v>33.07</v>
      </c>
      <c r="C150">
        <f>362.383+578.95</f>
        <v>941.33300000000008</v>
      </c>
      <c r="D150" s="2">
        <f t="shared" si="30"/>
        <v>28.464862413063202</v>
      </c>
      <c r="I150">
        <v>0.88870000000000005</v>
      </c>
      <c r="J150" s="2" t="e">
        <f>IF(#REF!,+C150/I150&gt;0,LOTUS_ERR(+C150/I150))</f>
        <v>#REF!</v>
      </c>
      <c r="K150">
        <f t="shared" si="31"/>
        <v>1.7671499991967279</v>
      </c>
    </row>
    <row r="151" spans="1:19">
      <c r="A151">
        <v>1835</v>
      </c>
      <c r="B151" s="2">
        <v>33.26</v>
      </c>
      <c r="C151">
        <f>364.646+590.131</f>
        <v>954.77700000000004</v>
      </c>
      <c r="D151" s="2">
        <f t="shared" si="30"/>
        <v>28.706464221286833</v>
      </c>
      <c r="I151">
        <v>0.87680000000000002</v>
      </c>
      <c r="J151" s="2" t="e">
        <f>IF(#REF!,+C151/I151&gt;0,LOTUS_ERR(+C151/I151))</f>
        <v>#REF!</v>
      </c>
      <c r="K151">
        <f t="shared" si="31"/>
        <v>1.8063365455569738</v>
      </c>
    </row>
    <row r="152" spans="1:19">
      <c r="A152">
        <v>1836</v>
      </c>
      <c r="B152" s="2">
        <v>33.54</v>
      </c>
      <c r="C152">
        <f>367.587+616.498</f>
        <v>984.08500000000004</v>
      </c>
      <c r="D152" s="2">
        <f t="shared" si="30"/>
        <v>29.340638044126418</v>
      </c>
      <c r="I152">
        <v>0.87409999999999999</v>
      </c>
      <c r="J152" s="2" t="e">
        <f>IF(#REF!,+C152/I152&gt;0,LOTUS_ERR(+C152/I152))</f>
        <v>#REF!</v>
      </c>
      <c r="K152">
        <f t="shared" si="31"/>
        <v>1.8519443816715908</v>
      </c>
    </row>
    <row r="153" spans="1:19">
      <c r="A153">
        <v>1837</v>
      </c>
      <c r="B153" s="2">
        <v>33.69</v>
      </c>
      <c r="C153">
        <f>382.14+632.69</f>
        <v>1014.83</v>
      </c>
      <c r="D153" s="2">
        <f t="shared" si="30"/>
        <v>30.122588305135057</v>
      </c>
      <c r="I153">
        <v>0.87419999999999998</v>
      </c>
      <c r="J153" s="2" t="e">
        <f>IF(#REF!,+C153/I153&gt;0,LOTUS_ERR(+C153/I153))</f>
        <v>#REF!</v>
      </c>
      <c r="K153">
        <f t="shared" si="31"/>
        <v>1.9010826139967654</v>
      </c>
    </row>
    <row r="154" spans="1:19">
      <c r="A154">
        <v>1838</v>
      </c>
      <c r="B154" s="2">
        <v>33.79</v>
      </c>
      <c r="C154">
        <f>387.224+653.919</f>
        <v>1041.143</v>
      </c>
      <c r="D154" s="2">
        <f t="shared" si="30"/>
        <v>30.812163361941405</v>
      </c>
      <c r="I154">
        <v>0.86909999999999998</v>
      </c>
      <c r="J154" s="2" t="e">
        <f>IF(#REF!,+C154/I154&gt;0,LOTUS_ERR(+C154/I154))</f>
        <v>#REF!</v>
      </c>
      <c r="K154">
        <f t="shared" si="31"/>
        <v>1.9560139505125571</v>
      </c>
    </row>
    <row r="155" spans="1:19">
      <c r="A155">
        <v>1839</v>
      </c>
      <c r="B155" s="2">
        <v>33.94</v>
      </c>
      <c r="C155">
        <f>391.869+661.892</f>
        <v>1053.761</v>
      </c>
      <c r="D155" s="2">
        <f t="shared" si="30"/>
        <v>31.047760754272247</v>
      </c>
      <c r="I155">
        <v>0.86360000000000003</v>
      </c>
      <c r="J155" s="2" t="e">
        <f>IF(#REF!,+C155/I155&gt;0,LOTUS_ERR(+C155/I155))</f>
        <v>#REF!</v>
      </c>
      <c r="K155">
        <f t="shared" si="31"/>
        <v>1.983522611187124</v>
      </c>
    </row>
    <row r="156" spans="1:19">
      <c r="A156">
        <v>1840</v>
      </c>
      <c r="B156" s="2">
        <v>34.08</v>
      </c>
      <c r="C156">
        <f>395.712+687.449</f>
        <v>1083.1610000000001</v>
      </c>
      <c r="D156" s="2">
        <f t="shared" si="30"/>
        <v>31.782893192488267</v>
      </c>
      <c r="I156">
        <v>0.86109999999999998</v>
      </c>
      <c r="J156" s="2" t="e">
        <f>IF(#REF!,+C156/I156&gt;0,LOTUS_ERR(+C156/I156))</f>
        <v>#REF!</v>
      </c>
      <c r="K156">
        <f t="shared" si="31"/>
        <v>2.0363824487382924</v>
      </c>
    </row>
    <row r="157" spans="1:19">
      <c r="A157">
        <v>1841</v>
      </c>
      <c r="B157" s="2">
        <v>34.229999999999997</v>
      </c>
      <c r="C157">
        <f>400.03+719.62</f>
        <v>1119.6500000000001</v>
      </c>
      <c r="D157" s="2">
        <f t="shared" si="30"/>
        <v>32.709611451942749</v>
      </c>
      <c r="I157">
        <v>0.86360000000000003</v>
      </c>
      <c r="J157" s="2" t="e">
        <f>IF(#REF!,+C157/I157&gt;0,LOTUS_ERR(+C157/I157))</f>
        <v>#REF!</v>
      </c>
      <c r="K157">
        <f t="shared" si="31"/>
        <v>2.0896918921647534</v>
      </c>
    </row>
    <row r="158" spans="1:19">
      <c r="A158">
        <v>1842</v>
      </c>
      <c r="B158" s="2">
        <v>34.450000000000003</v>
      </c>
      <c r="C158">
        <f>405.838+754.851</f>
        <v>1160.6890000000001</v>
      </c>
      <c r="D158" s="2">
        <f t="shared" si="30"/>
        <v>33.69198838896952</v>
      </c>
      <c r="I158">
        <v>0.87470000000000003</v>
      </c>
      <c r="J158" s="2" t="e">
        <f>IF(#REF!,+C158/I158&gt;0,LOTUS_ERR(+C158/I158))</f>
        <v>#REF!</v>
      </c>
      <c r="K158">
        <f t="shared" si="31"/>
        <v>2.1251374363806939</v>
      </c>
    </row>
    <row r="159" spans="1:19">
      <c r="A159">
        <v>1843</v>
      </c>
      <c r="B159" s="2">
        <v>34.659999999999997</v>
      </c>
      <c r="C159">
        <f>411.265+768.876</f>
        <v>1180.1410000000001</v>
      </c>
      <c r="D159" s="2">
        <f t="shared" si="30"/>
        <v>34.049076745527991</v>
      </c>
      <c r="I159">
        <v>0.86370000000000002</v>
      </c>
      <c r="J159" s="2" t="e">
        <f>IF(#REF!,+C159/I159&gt;0,LOTUS_ERR(+C159/I159))</f>
        <v>#REF!</v>
      </c>
      <c r="K159">
        <f t="shared" si="31"/>
        <v>2.1750133492265831</v>
      </c>
    </row>
    <row r="160" spans="1:19">
      <c r="A160">
        <v>1844</v>
      </c>
      <c r="B160" s="2">
        <v>34.9</v>
      </c>
      <c r="C160">
        <f>413.876+791.392</f>
        <v>1205.268</v>
      </c>
      <c r="D160" s="2">
        <f t="shared" si="30"/>
        <v>34.534899713467048</v>
      </c>
      <c r="I160">
        <v>0.86040000000000005</v>
      </c>
      <c r="J160" s="2" t="e">
        <f>IF(#REF!,+C160/I160&gt;0,LOTUS_ERR(+C160/I160))</f>
        <v>#REF!</v>
      </c>
      <c r="K160">
        <f t="shared" si="31"/>
        <v>2.2145082549546835</v>
      </c>
    </row>
    <row r="161" spans="1:11">
      <c r="A161">
        <v>1845</v>
      </c>
      <c r="B161" s="2">
        <v>35.159999999999997</v>
      </c>
      <c r="C161">
        <f>415.809+808.269</f>
        <v>1224.078</v>
      </c>
      <c r="D161" s="2">
        <f t="shared" si="30"/>
        <v>34.814505119453926</v>
      </c>
      <c r="I161">
        <v>0.85680000000000001</v>
      </c>
      <c r="J161" s="2" t="e">
        <f>IF(#REF!,+C161/I161&gt;0,LOTUS_ERR(+C161/I161))</f>
        <v>#REF!</v>
      </c>
      <c r="K161">
        <f t="shared" si="31"/>
        <v>2.2418175999949339</v>
      </c>
    </row>
    <row r="162" spans="1:11">
      <c r="I162">
        <v>0.85099999999999998</v>
      </c>
    </row>
    <row r="163" spans="1:11">
      <c r="I163">
        <v>0.85089999999999999</v>
      </c>
    </row>
    <row r="164" spans="1:11">
      <c r="I164">
        <v>0.86470000000000002</v>
      </c>
    </row>
    <row r="165" spans="1:11">
      <c r="I165">
        <v>0.88529999999999998</v>
      </c>
    </row>
    <row r="166" spans="1:11">
      <c r="I166">
        <v>0.90469999999999995</v>
      </c>
    </row>
    <row r="167" spans="1:11">
      <c r="I167">
        <v>0.92230000000000001</v>
      </c>
    </row>
    <row r="168" spans="1:11">
      <c r="I168">
        <v>0.92949999999999999</v>
      </c>
    </row>
    <row r="169" spans="1:11">
      <c r="I169">
        <v>0.9456</v>
      </c>
    </row>
    <row r="170" spans="1:11">
      <c r="I170">
        <v>0.9617</v>
      </c>
    </row>
    <row r="171" spans="1:11">
      <c r="I171">
        <v>0.98419999999999996</v>
      </c>
    </row>
    <row r="172" spans="1:11">
      <c r="I172">
        <v>1.0021111111111101</v>
      </c>
    </row>
    <row r="173" spans="1:11">
      <c r="I173">
        <v>1.0173749999999999</v>
      </c>
    </row>
    <row r="174" spans="1:11">
      <c r="I174">
        <v>1.02371428571429</v>
      </c>
    </row>
    <row r="175" spans="1:11">
      <c r="I175">
        <v>1.0225</v>
      </c>
    </row>
    <row r="176" spans="1:11">
      <c r="I176">
        <v>1.014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59"/>
  <sheetViews>
    <sheetView workbookViewId="0"/>
  </sheetViews>
  <sheetFormatPr defaultRowHeight="12.75"/>
  <sheetData>
    <row r="1" spans="1:50">
      <c r="B1" t="s">
        <v>108</v>
      </c>
      <c r="F1" t="s">
        <v>107</v>
      </c>
      <c r="K1" t="s">
        <v>106</v>
      </c>
      <c r="P1" t="s">
        <v>105</v>
      </c>
      <c r="U1" t="s">
        <v>104</v>
      </c>
      <c r="W1" t="s">
        <v>103</v>
      </c>
      <c r="Y1" t="s">
        <v>102</v>
      </c>
      <c r="AB1" t="s">
        <v>101</v>
      </c>
      <c r="AE1" t="s">
        <v>100</v>
      </c>
      <c r="AG1" t="s">
        <v>99</v>
      </c>
      <c r="AJ1" t="s">
        <v>98</v>
      </c>
      <c r="AK1" t="s">
        <v>97</v>
      </c>
      <c r="AN1" t="s">
        <v>96</v>
      </c>
      <c r="AQ1" t="s">
        <v>95</v>
      </c>
      <c r="AT1" t="s">
        <v>94</v>
      </c>
      <c r="AW1" t="s">
        <v>93</v>
      </c>
    </row>
    <row r="2" spans="1:50">
      <c r="B2" t="s">
        <v>87</v>
      </c>
      <c r="C2" t="s">
        <v>68</v>
      </c>
      <c r="D2" t="s">
        <v>88</v>
      </c>
      <c r="F2" t="s">
        <v>88</v>
      </c>
      <c r="G2" t="s">
        <v>92</v>
      </c>
      <c r="H2" t="s">
        <v>91</v>
      </c>
      <c r="I2" t="s">
        <v>90</v>
      </c>
      <c r="K2" t="s">
        <v>88</v>
      </c>
      <c r="L2" t="s">
        <v>92</v>
      </c>
      <c r="M2" t="s">
        <v>91</v>
      </c>
      <c r="N2" t="s">
        <v>90</v>
      </c>
      <c r="P2" t="s">
        <v>88</v>
      </c>
      <c r="Q2" t="s">
        <v>92</v>
      </c>
      <c r="R2" t="s">
        <v>91</v>
      </c>
      <c r="S2" t="s">
        <v>90</v>
      </c>
      <c r="U2" t="s">
        <v>87</v>
      </c>
      <c r="V2" t="s">
        <v>88</v>
      </c>
      <c r="Y2" t="s">
        <v>87</v>
      </c>
      <c r="Z2" t="s">
        <v>68</v>
      </c>
      <c r="AA2" t="s">
        <v>88</v>
      </c>
      <c r="AB2" t="s">
        <v>87</v>
      </c>
      <c r="AC2" t="s">
        <v>68</v>
      </c>
      <c r="AD2" t="s">
        <v>88</v>
      </c>
      <c r="AE2" t="s">
        <v>87</v>
      </c>
      <c r="AF2" t="s">
        <v>88</v>
      </c>
      <c r="AG2" t="s">
        <v>87</v>
      </c>
      <c r="AH2" t="s">
        <v>68</v>
      </c>
      <c r="AI2" t="s">
        <v>88</v>
      </c>
      <c r="AJ2" t="s">
        <v>89</v>
      </c>
      <c r="AK2" t="s">
        <v>87</v>
      </c>
      <c r="AL2" t="s">
        <v>68</v>
      </c>
      <c r="AM2" t="s">
        <v>88</v>
      </c>
      <c r="AN2" t="s">
        <v>87</v>
      </c>
      <c r="AO2" t="s">
        <v>68</v>
      </c>
      <c r="AP2" t="s">
        <v>88</v>
      </c>
      <c r="AQ2" t="s">
        <v>87</v>
      </c>
      <c r="AR2" t="s">
        <v>68</v>
      </c>
      <c r="AS2" t="s">
        <v>88</v>
      </c>
      <c r="AT2" t="s">
        <v>87</v>
      </c>
      <c r="AU2" t="s">
        <v>68</v>
      </c>
      <c r="AV2" t="s">
        <v>88</v>
      </c>
      <c r="AW2" t="s">
        <v>87</v>
      </c>
    </row>
    <row r="3" spans="1:50">
      <c r="A3">
        <v>1770</v>
      </c>
      <c r="B3">
        <f t="shared" ref="B3:B34" si="0">J3+N3+S3+U3+W3+Y3+AB3+AE3+AG3+AJ3+AK3+AN3+AQ3+AT3+AW3</f>
        <v>1.877</v>
      </c>
      <c r="C3">
        <f t="shared" ref="C3:C34" si="1">H3+M3+R3+Z3+AC3+AH3+AL3+AO3+AR3+AU3</f>
        <v>0</v>
      </c>
      <c r="D3">
        <f>F3+K3+P3+V3+AV3+AA3+AD3+AF3+AI3+AM3+AP3+AX3</f>
        <v>22.873542999999998</v>
      </c>
      <c r="O3" t="s">
        <v>86</v>
      </c>
      <c r="T3" t="s">
        <v>86</v>
      </c>
      <c r="U3">
        <v>0.5</v>
      </c>
      <c r="AT3">
        <v>1.377</v>
      </c>
      <c r="AV3">
        <v>9.2032550000000004</v>
      </c>
      <c r="AX3">
        <f>SUM(AW3:AW24)</f>
        <v>13.670287999999998</v>
      </c>
    </row>
    <row r="4" spans="1:50">
      <c r="A4">
        <v>1771</v>
      </c>
      <c r="B4">
        <f t="shared" si="0"/>
        <v>18.277101500000001</v>
      </c>
      <c r="C4">
        <f t="shared" si="1"/>
        <v>10.685465697997575</v>
      </c>
      <c r="D4">
        <f>F4+K4+P4+V4+AV4+AA4+AD4+AF4+AI4+AM4+AP4+AX4</f>
        <v>236.78549739994608</v>
      </c>
      <c r="F4">
        <f t="shared" ref="F4:F16" si="2">(I4-G4)/0.045</f>
        <v>92.053954399946093</v>
      </c>
      <c r="G4">
        <f t="shared" ref="G4:G16" si="3">(I4-F5*0.045)/1.045</f>
        <v>0.49294855200242516</v>
      </c>
      <c r="H4">
        <f t="shared" ref="H4:H35" si="4">0.045*F4+0.23265</f>
        <v>4.3750779479975739</v>
      </c>
      <c r="I4">
        <v>4.6353764999999996</v>
      </c>
      <c r="J4">
        <f t="shared" ref="J4:J35" si="5">I4+0.01034*22.5</f>
        <v>4.8680264999999991</v>
      </c>
      <c r="K4">
        <v>48.534999999999997</v>
      </c>
      <c r="L4">
        <v>3.6</v>
      </c>
      <c r="M4">
        <f t="shared" ref="M4:M16" si="6">K4*0.045</f>
        <v>2.1840749999999995</v>
      </c>
      <c r="N4">
        <f t="shared" ref="N4:N15" si="7">L4+K4*0.045</f>
        <v>5.7840749999999996</v>
      </c>
      <c r="O4">
        <f t="shared" ref="O4:O15" si="8">N4</f>
        <v>5.7840749999999996</v>
      </c>
      <c r="P4">
        <f t="shared" ref="P4:P15" si="9">P5+Q4</f>
        <v>74.7</v>
      </c>
      <c r="Q4">
        <v>3</v>
      </c>
      <c r="R4">
        <f t="shared" ref="R4:R19" si="10">P4*0.05</f>
        <v>3.7350000000000003</v>
      </c>
      <c r="S4">
        <f t="shared" ref="S4:S18" si="11">Q4+P4*0.05</f>
        <v>6.7350000000000003</v>
      </c>
      <c r="T4">
        <f t="shared" ref="T4:T17" si="12">S4</f>
        <v>6.7350000000000003</v>
      </c>
      <c r="U4">
        <v>0.5</v>
      </c>
      <c r="AT4">
        <v>0.39</v>
      </c>
      <c r="AU4">
        <v>0.39131274999999999</v>
      </c>
      <c r="AV4">
        <v>7.8262549999999997</v>
      </c>
      <c r="AX4">
        <f t="shared" ref="AX4:AX23" si="13">AX3-AW3</f>
        <v>13.670287999999998</v>
      </c>
    </row>
    <row r="5" spans="1:50">
      <c r="A5">
        <v>1772</v>
      </c>
      <c r="B5">
        <f t="shared" si="0"/>
        <v>18.155101499999997</v>
      </c>
      <c r="C5">
        <f t="shared" si="1"/>
        <v>10.331783013157466</v>
      </c>
      <c r="D5">
        <f>F5+K5+P5+V5+AV5+AA5+AD5+AF5+AI5+AM5+AP5+AX5</f>
        <v>229.30254884794368</v>
      </c>
      <c r="F5">
        <f t="shared" si="2"/>
        <v>91.561005847943676</v>
      </c>
      <c r="G5">
        <f t="shared" si="3"/>
        <v>0.51513123684253426</v>
      </c>
      <c r="H5">
        <f t="shared" si="4"/>
        <v>4.3528952631574649</v>
      </c>
      <c r="I5">
        <v>4.6353764999999996</v>
      </c>
      <c r="J5">
        <f t="shared" si="5"/>
        <v>4.8680264999999991</v>
      </c>
      <c r="K5">
        <f t="shared" ref="K5:K16" si="14">K4-L4</f>
        <v>44.934999999999995</v>
      </c>
      <c r="L5">
        <v>3.6</v>
      </c>
      <c r="M5">
        <f t="shared" si="6"/>
        <v>2.0220749999999996</v>
      </c>
      <c r="N5">
        <f t="shared" si="7"/>
        <v>5.6220749999999997</v>
      </c>
      <c r="O5">
        <f t="shared" si="8"/>
        <v>5.6220749999999997</v>
      </c>
      <c r="P5">
        <f t="shared" si="9"/>
        <v>71.7</v>
      </c>
      <c r="Q5">
        <v>3</v>
      </c>
      <c r="R5">
        <f t="shared" si="10"/>
        <v>3.5850000000000004</v>
      </c>
      <c r="S5">
        <f t="shared" si="11"/>
        <v>6.5850000000000009</v>
      </c>
      <c r="T5">
        <f t="shared" si="12"/>
        <v>6.5850000000000009</v>
      </c>
      <c r="U5">
        <v>0.5</v>
      </c>
      <c r="AT5">
        <v>0.57999999999999996</v>
      </c>
      <c r="AU5">
        <v>0.37181275000000003</v>
      </c>
      <c r="AV5">
        <v>7.4362550000000001</v>
      </c>
      <c r="AX5">
        <f t="shared" si="13"/>
        <v>13.670287999999998</v>
      </c>
    </row>
    <row r="6" spans="1:50">
      <c r="A6">
        <v>1773</v>
      </c>
      <c r="B6">
        <f t="shared" si="0"/>
        <v>17.9068015</v>
      </c>
      <c r="C6">
        <f t="shared" si="1"/>
        <v>10.001602107499552</v>
      </c>
      <c r="D6">
        <f>F6+K6+P6+V6+AV6+AA6+AD6+AF6+AI6+AM6+AP6+AX6</f>
        <v>221.60741761110114</v>
      </c>
      <c r="F6">
        <f t="shared" si="2"/>
        <v>91.045874611101141</v>
      </c>
      <c r="G6">
        <f t="shared" si="3"/>
        <v>0.53831214250044834</v>
      </c>
      <c r="H6">
        <f t="shared" si="4"/>
        <v>4.3297143574995509</v>
      </c>
      <c r="I6">
        <v>4.6353764999999996</v>
      </c>
      <c r="J6">
        <f t="shared" si="5"/>
        <v>4.8680264999999991</v>
      </c>
      <c r="K6">
        <f t="shared" si="14"/>
        <v>41.334999999999994</v>
      </c>
      <c r="L6">
        <v>3.6</v>
      </c>
      <c r="M6">
        <f t="shared" si="6"/>
        <v>1.8600749999999997</v>
      </c>
      <c r="N6">
        <f t="shared" si="7"/>
        <v>5.4600749999999998</v>
      </c>
      <c r="O6">
        <f t="shared" si="8"/>
        <v>5.4600749999999998</v>
      </c>
      <c r="P6">
        <f t="shared" si="9"/>
        <v>68.7</v>
      </c>
      <c r="Q6">
        <v>3</v>
      </c>
      <c r="R6">
        <f t="shared" si="10"/>
        <v>3.4350000000000005</v>
      </c>
      <c r="S6">
        <f t="shared" si="11"/>
        <v>6.4350000000000005</v>
      </c>
      <c r="T6">
        <f t="shared" si="12"/>
        <v>6.4350000000000005</v>
      </c>
      <c r="U6">
        <v>0.5</v>
      </c>
      <c r="AQ6">
        <v>6.8000000000000005E-2</v>
      </c>
      <c r="AR6">
        <v>3.4000000000000002E-2</v>
      </c>
      <c r="AS6">
        <v>0.68</v>
      </c>
      <c r="AT6">
        <v>0.57569999999999999</v>
      </c>
      <c r="AU6">
        <v>0.34281275</v>
      </c>
      <c r="AV6">
        <v>6.856255</v>
      </c>
      <c r="AX6">
        <f t="shared" si="13"/>
        <v>13.670287999999998</v>
      </c>
    </row>
    <row r="7" spans="1:50">
      <c r="A7">
        <v>1774</v>
      </c>
      <c r="B7">
        <f t="shared" si="0"/>
        <v>17.594801500000003</v>
      </c>
      <c r="C7">
        <f t="shared" si="1"/>
        <v>9.6348930610870287</v>
      </c>
      <c r="D7">
        <f>F7+K7+P7+V7+AV7+AA7+AD7+AF7+AI7+AM7+AP7+AX7</f>
        <v>213.89340546860066</v>
      </c>
      <c r="F7">
        <f t="shared" si="2"/>
        <v>90.507562468600696</v>
      </c>
      <c r="G7">
        <f t="shared" si="3"/>
        <v>0.56253618891296842</v>
      </c>
      <c r="H7">
        <f t="shared" si="4"/>
        <v>4.3054903110870306</v>
      </c>
      <c r="I7">
        <v>4.6353764999999996</v>
      </c>
      <c r="J7">
        <f t="shared" si="5"/>
        <v>4.8680264999999991</v>
      </c>
      <c r="K7">
        <f t="shared" si="14"/>
        <v>37.734999999999992</v>
      </c>
      <c r="L7">
        <v>3.6</v>
      </c>
      <c r="M7">
        <f t="shared" si="6"/>
        <v>1.6980749999999996</v>
      </c>
      <c r="N7">
        <f t="shared" si="7"/>
        <v>5.2980749999999999</v>
      </c>
      <c r="O7">
        <f t="shared" si="8"/>
        <v>5.2980749999999999</v>
      </c>
      <c r="P7">
        <f t="shared" si="9"/>
        <v>65.7</v>
      </c>
      <c r="Q7">
        <v>3</v>
      </c>
      <c r="R7">
        <f t="shared" si="10"/>
        <v>3.2850000000000001</v>
      </c>
      <c r="S7">
        <f t="shared" si="11"/>
        <v>6.2850000000000001</v>
      </c>
      <c r="T7">
        <f t="shared" si="12"/>
        <v>6.2850000000000001</v>
      </c>
      <c r="U7">
        <v>0.5</v>
      </c>
      <c r="AQ7">
        <v>6.8000000000000005E-2</v>
      </c>
      <c r="AR7">
        <v>3.2300000000000002E-2</v>
      </c>
      <c r="AS7">
        <v>0.64600000000000002</v>
      </c>
      <c r="AT7">
        <v>0.57569999999999999</v>
      </c>
      <c r="AU7">
        <v>0.31402774999999999</v>
      </c>
      <c r="AV7">
        <v>6.2805549999999997</v>
      </c>
      <c r="AX7">
        <f t="shared" si="13"/>
        <v>13.670287999999998</v>
      </c>
    </row>
    <row r="8" spans="1:50">
      <c r="A8">
        <v>1775</v>
      </c>
      <c r="B8">
        <f t="shared" si="0"/>
        <v>18.850801500000003</v>
      </c>
      <c r="C8">
        <f t="shared" si="1"/>
        <v>9.2670089325859468</v>
      </c>
      <c r="D8">
        <f>F8+K8+P8+V8+AV8+AA8+AD8+AF8+AI8+AM8+AP14+AX8</f>
        <v>209.33516927968773</v>
      </c>
      <c r="F8">
        <f t="shared" si="2"/>
        <v>89.945026279687724</v>
      </c>
      <c r="G8">
        <f t="shared" si="3"/>
        <v>0.58785031741405203</v>
      </c>
      <c r="H8">
        <f t="shared" si="4"/>
        <v>4.2801761825859472</v>
      </c>
      <c r="I8">
        <v>4.6353764999999996</v>
      </c>
      <c r="J8">
        <f t="shared" si="5"/>
        <v>4.8680264999999991</v>
      </c>
      <c r="K8">
        <f t="shared" si="14"/>
        <v>34.134999999999991</v>
      </c>
      <c r="L8">
        <v>3.6</v>
      </c>
      <c r="M8">
        <f t="shared" si="6"/>
        <v>1.5360749999999996</v>
      </c>
      <c r="N8">
        <f t="shared" si="7"/>
        <v>5.1360749999999999</v>
      </c>
      <c r="O8">
        <f t="shared" si="8"/>
        <v>5.1360749999999999</v>
      </c>
      <c r="P8">
        <f t="shared" si="9"/>
        <v>62.7</v>
      </c>
      <c r="Q8">
        <v>3</v>
      </c>
      <c r="R8">
        <f t="shared" si="10"/>
        <v>3.1350000000000002</v>
      </c>
      <c r="S8">
        <f t="shared" si="11"/>
        <v>6.1349999999999998</v>
      </c>
      <c r="T8">
        <f t="shared" si="12"/>
        <v>6.1349999999999998</v>
      </c>
      <c r="U8">
        <v>0.5</v>
      </c>
      <c r="AJ8">
        <v>0.5</v>
      </c>
      <c r="AQ8">
        <v>6.8000000000000005E-2</v>
      </c>
      <c r="AR8">
        <v>3.0515E-2</v>
      </c>
      <c r="AS8">
        <v>0.61029999999999995</v>
      </c>
      <c r="AT8">
        <v>0.57569999999999999</v>
      </c>
      <c r="AU8">
        <v>0.28524274999999999</v>
      </c>
      <c r="AV8">
        <v>5.7048550000000002</v>
      </c>
      <c r="AW8">
        <v>1.0680000000000001</v>
      </c>
      <c r="AX8">
        <f t="shared" si="13"/>
        <v>13.670287999999998</v>
      </c>
    </row>
    <row r="9" spans="1:50">
      <c r="A9">
        <v>1776</v>
      </c>
      <c r="B9">
        <f t="shared" si="0"/>
        <v>18.538801500000002</v>
      </c>
      <c r="C9">
        <f t="shared" si="1"/>
        <v>8.897896418302313</v>
      </c>
      <c r="D9">
        <f t="shared" ref="D9:D40" si="15">F9+K9+P9+V9+AV9+AA9+AD9+AF9+AI9+AM9+AP9+AX9</f>
        <v>197.32361896227363</v>
      </c>
      <c r="F9">
        <f t="shared" si="2"/>
        <v>89.357175962273672</v>
      </c>
      <c r="G9">
        <f t="shared" si="3"/>
        <v>0.61430358169768429</v>
      </c>
      <c r="H9">
        <f t="shared" si="4"/>
        <v>4.2537229183023149</v>
      </c>
      <c r="I9">
        <v>4.6353764999999996</v>
      </c>
      <c r="J9">
        <f t="shared" si="5"/>
        <v>4.8680264999999991</v>
      </c>
      <c r="K9">
        <f t="shared" si="14"/>
        <v>30.534999999999989</v>
      </c>
      <c r="L9">
        <v>3.6</v>
      </c>
      <c r="M9">
        <f t="shared" si="6"/>
        <v>1.3740749999999995</v>
      </c>
      <c r="N9">
        <f t="shared" si="7"/>
        <v>4.9740749999999991</v>
      </c>
      <c r="O9">
        <f t="shared" si="8"/>
        <v>4.9740749999999991</v>
      </c>
      <c r="P9">
        <f t="shared" si="9"/>
        <v>59.7</v>
      </c>
      <c r="Q9">
        <v>3</v>
      </c>
      <c r="R9">
        <f t="shared" si="10"/>
        <v>2.9850000000000003</v>
      </c>
      <c r="S9">
        <f t="shared" si="11"/>
        <v>5.9850000000000003</v>
      </c>
      <c r="T9">
        <f t="shared" si="12"/>
        <v>5.9850000000000003</v>
      </c>
      <c r="U9">
        <v>0.5</v>
      </c>
      <c r="AJ9">
        <v>0.5</v>
      </c>
      <c r="AQ9">
        <v>6.8000000000000005E-2</v>
      </c>
      <c r="AR9">
        <v>2.864075E-2</v>
      </c>
      <c r="AS9">
        <v>0.57281499999999996</v>
      </c>
      <c r="AT9">
        <v>0.57569999999999999</v>
      </c>
      <c r="AU9">
        <v>0.25645774999999998</v>
      </c>
      <c r="AV9">
        <v>5.1291549999999999</v>
      </c>
      <c r="AW9">
        <v>1.0680000000000001</v>
      </c>
      <c r="AX9">
        <f t="shared" si="13"/>
        <v>12.602287999999998</v>
      </c>
    </row>
    <row r="10" spans="1:50">
      <c r="A10">
        <v>1777</v>
      </c>
      <c r="B10">
        <f t="shared" si="0"/>
        <v>18.226801500000004</v>
      </c>
      <c r="C10">
        <f t="shared" si="1"/>
        <v>8.5274997946259194</v>
      </c>
      <c r="D10">
        <f t="shared" si="15"/>
        <v>188.46561538057597</v>
      </c>
      <c r="F10">
        <f t="shared" si="2"/>
        <v>88.742872380575989</v>
      </c>
      <c r="G10">
        <f t="shared" si="3"/>
        <v>0.64194724287408023</v>
      </c>
      <c r="H10">
        <f t="shared" si="4"/>
        <v>4.2260792571259191</v>
      </c>
      <c r="I10">
        <v>4.6353764999999996</v>
      </c>
      <c r="J10">
        <f t="shared" si="5"/>
        <v>4.8680264999999991</v>
      </c>
      <c r="K10">
        <f t="shared" si="14"/>
        <v>26.934999999999988</v>
      </c>
      <c r="L10">
        <v>3.6</v>
      </c>
      <c r="M10">
        <f t="shared" si="6"/>
        <v>1.2120749999999993</v>
      </c>
      <c r="N10">
        <f t="shared" si="7"/>
        <v>4.8120749999999992</v>
      </c>
      <c r="O10">
        <f t="shared" si="8"/>
        <v>4.8120749999999992</v>
      </c>
      <c r="P10">
        <f t="shared" si="9"/>
        <v>56.7</v>
      </c>
      <c r="Q10">
        <v>3</v>
      </c>
      <c r="R10">
        <f t="shared" si="10"/>
        <v>2.8350000000000004</v>
      </c>
      <c r="S10">
        <f t="shared" si="11"/>
        <v>5.8350000000000009</v>
      </c>
      <c r="T10">
        <f t="shared" si="12"/>
        <v>5.8350000000000009</v>
      </c>
      <c r="U10">
        <v>0.5</v>
      </c>
      <c r="AJ10">
        <v>0.5</v>
      </c>
      <c r="AQ10">
        <v>6.8000000000000005E-2</v>
      </c>
      <c r="AR10">
        <v>2.66727875E-2</v>
      </c>
      <c r="AS10">
        <v>0.53345575000000001</v>
      </c>
      <c r="AT10">
        <v>0.57569999999999999</v>
      </c>
      <c r="AU10">
        <v>0.22767275000000001</v>
      </c>
      <c r="AV10">
        <v>4.5534549999999996</v>
      </c>
      <c r="AW10">
        <v>1.0680000000000001</v>
      </c>
      <c r="AX10">
        <f t="shared" si="13"/>
        <v>11.534287999999998</v>
      </c>
    </row>
    <row r="11" spans="1:50">
      <c r="A11">
        <v>1778</v>
      </c>
      <c r="B11">
        <f t="shared" si="0"/>
        <v>17.914801500000003</v>
      </c>
      <c r="C11">
        <f t="shared" si="1"/>
        <v>8.1557608080715855</v>
      </c>
      <c r="D11">
        <f t="shared" si="15"/>
        <v>186.57996813770191</v>
      </c>
      <c r="F11">
        <f t="shared" si="2"/>
        <v>88.100925137701907</v>
      </c>
      <c r="G11">
        <f t="shared" si="3"/>
        <v>0.6708348688034137</v>
      </c>
      <c r="H11">
        <f t="shared" si="4"/>
        <v>4.1971916311965858</v>
      </c>
      <c r="I11">
        <v>4.6353764999999996</v>
      </c>
      <c r="J11">
        <f t="shared" si="5"/>
        <v>4.8680264999999991</v>
      </c>
      <c r="K11">
        <f t="shared" si="14"/>
        <v>23.334999999999987</v>
      </c>
      <c r="L11">
        <v>3.6</v>
      </c>
      <c r="M11">
        <f t="shared" si="6"/>
        <v>1.0500749999999994</v>
      </c>
      <c r="N11">
        <f t="shared" si="7"/>
        <v>4.6500749999999993</v>
      </c>
      <c r="O11">
        <f t="shared" si="8"/>
        <v>4.6500749999999993</v>
      </c>
      <c r="P11">
        <f t="shared" si="9"/>
        <v>53.7</v>
      </c>
      <c r="Q11">
        <v>3</v>
      </c>
      <c r="R11">
        <f t="shared" si="10"/>
        <v>2.6850000000000005</v>
      </c>
      <c r="S11">
        <f t="shared" si="11"/>
        <v>5.6850000000000005</v>
      </c>
      <c r="T11">
        <f t="shared" si="12"/>
        <v>5.6850000000000005</v>
      </c>
      <c r="U11">
        <v>0.5</v>
      </c>
      <c r="AI11">
        <v>7</v>
      </c>
      <c r="AJ11">
        <v>0.5</v>
      </c>
      <c r="AQ11">
        <v>6.8000000000000005E-2</v>
      </c>
      <c r="AR11">
        <v>2.4606426875E-2</v>
      </c>
      <c r="AS11">
        <v>0.49212853750000002</v>
      </c>
      <c r="AT11">
        <v>0.57569999999999999</v>
      </c>
      <c r="AU11">
        <v>0.19888775</v>
      </c>
      <c r="AV11">
        <v>3.9777550000000002</v>
      </c>
      <c r="AW11">
        <v>1.0680000000000001</v>
      </c>
      <c r="AX11">
        <f t="shared" si="13"/>
        <v>10.466287999999999</v>
      </c>
    </row>
    <row r="12" spans="1:50">
      <c r="A12">
        <v>1779</v>
      </c>
      <c r="B12">
        <f t="shared" si="0"/>
        <v>18.952801500000003</v>
      </c>
      <c r="C12">
        <f t="shared" si="1"/>
        <v>8.1326185603191803</v>
      </c>
      <c r="D12">
        <f t="shared" si="15"/>
        <v>183.16543326889848</v>
      </c>
      <c r="F12">
        <f t="shared" si="2"/>
        <v>87.430090268898496</v>
      </c>
      <c r="G12">
        <f t="shared" si="3"/>
        <v>0.70102243789956731</v>
      </c>
      <c r="H12">
        <f t="shared" si="4"/>
        <v>4.1670040621004318</v>
      </c>
      <c r="I12">
        <v>4.6353764999999996</v>
      </c>
      <c r="J12">
        <f t="shared" si="5"/>
        <v>4.8680264999999991</v>
      </c>
      <c r="K12">
        <f t="shared" si="14"/>
        <v>19.734999999999985</v>
      </c>
      <c r="L12">
        <v>3.6</v>
      </c>
      <c r="M12">
        <f t="shared" si="6"/>
        <v>0.88807499999999928</v>
      </c>
      <c r="N12">
        <f t="shared" si="7"/>
        <v>4.4880749999999994</v>
      </c>
      <c r="O12">
        <f t="shared" si="8"/>
        <v>4.4880749999999994</v>
      </c>
      <c r="P12">
        <f t="shared" si="9"/>
        <v>50.7</v>
      </c>
      <c r="Q12">
        <v>3</v>
      </c>
      <c r="R12">
        <f t="shared" si="10"/>
        <v>2.5350000000000001</v>
      </c>
      <c r="S12">
        <f t="shared" si="11"/>
        <v>5.5350000000000001</v>
      </c>
      <c r="T12">
        <f t="shared" si="12"/>
        <v>5.5350000000000001</v>
      </c>
      <c r="U12">
        <v>0.5</v>
      </c>
      <c r="AF12">
        <v>5.5</v>
      </c>
      <c r="AG12">
        <v>1.35</v>
      </c>
      <c r="AH12">
        <v>0.35</v>
      </c>
      <c r="AI12">
        <v>7</v>
      </c>
      <c r="AJ12">
        <v>0.5</v>
      </c>
      <c r="AQ12">
        <v>6.8000000000000005E-2</v>
      </c>
      <c r="AR12">
        <v>2.243674821875E-2</v>
      </c>
      <c r="AS12">
        <v>0.44873496437499999</v>
      </c>
      <c r="AT12">
        <v>0.57569999999999999</v>
      </c>
      <c r="AU12">
        <v>0.17010275</v>
      </c>
      <c r="AV12">
        <v>3.4020549999999998</v>
      </c>
      <c r="AW12">
        <v>1.0680000000000001</v>
      </c>
      <c r="AX12">
        <f t="shared" si="13"/>
        <v>9.3982879999999991</v>
      </c>
    </row>
    <row r="13" spans="1:50">
      <c r="A13">
        <v>1780</v>
      </c>
      <c r="B13">
        <f t="shared" si="0"/>
        <v>18.640801500000002</v>
      </c>
      <c r="C13">
        <f t="shared" si="1"/>
        <v>7.7580093880246368</v>
      </c>
      <c r="D13">
        <f t="shared" si="15"/>
        <v>187.22071083099891</v>
      </c>
      <c r="F13">
        <f t="shared" si="2"/>
        <v>86.729067830998929</v>
      </c>
      <c r="G13">
        <f t="shared" si="3"/>
        <v>0.7325684476050478</v>
      </c>
      <c r="H13">
        <f t="shared" si="4"/>
        <v>4.1354580523949513</v>
      </c>
      <c r="I13">
        <v>4.6353764999999996</v>
      </c>
      <c r="J13">
        <f t="shared" si="5"/>
        <v>4.8680264999999991</v>
      </c>
      <c r="K13">
        <f t="shared" si="14"/>
        <v>16.134999999999984</v>
      </c>
      <c r="L13">
        <v>3.6</v>
      </c>
      <c r="M13">
        <f t="shared" si="6"/>
        <v>0.72607499999999925</v>
      </c>
      <c r="N13">
        <f t="shared" si="7"/>
        <v>4.3260749999999994</v>
      </c>
      <c r="O13">
        <f t="shared" si="8"/>
        <v>4.3260749999999994</v>
      </c>
      <c r="P13">
        <f t="shared" si="9"/>
        <v>47.7</v>
      </c>
      <c r="Q13">
        <v>3</v>
      </c>
      <c r="R13">
        <f t="shared" si="10"/>
        <v>2.3850000000000002</v>
      </c>
      <c r="S13">
        <f t="shared" si="11"/>
        <v>5.3849999999999998</v>
      </c>
      <c r="T13">
        <f t="shared" si="12"/>
        <v>5.3849999999999998</v>
      </c>
      <c r="U13">
        <v>0.5</v>
      </c>
      <c r="V13">
        <v>14</v>
      </c>
      <c r="AF13">
        <v>5.5</v>
      </c>
      <c r="AG13">
        <v>1.35</v>
      </c>
      <c r="AH13">
        <v>0.35</v>
      </c>
      <c r="AI13">
        <v>6</v>
      </c>
      <c r="AJ13">
        <v>0.5</v>
      </c>
      <c r="AQ13">
        <v>6.8000000000000005E-2</v>
      </c>
      <c r="AR13">
        <v>2.01585856296875E-2</v>
      </c>
      <c r="AS13">
        <v>0.40317171259375001</v>
      </c>
      <c r="AT13">
        <v>0.57569999999999999</v>
      </c>
      <c r="AU13">
        <v>0.14131774999999999</v>
      </c>
      <c r="AV13">
        <v>2.826355</v>
      </c>
      <c r="AW13">
        <v>1.0680000000000001</v>
      </c>
      <c r="AX13">
        <f t="shared" si="13"/>
        <v>8.3302879999999995</v>
      </c>
    </row>
    <row r="14" spans="1:50">
      <c r="A14">
        <v>1781</v>
      </c>
      <c r="B14">
        <f t="shared" si="0"/>
        <v>21.464076500000004</v>
      </c>
      <c r="C14">
        <f t="shared" si="1"/>
        <v>7.800521737163896</v>
      </c>
      <c r="D14">
        <f t="shared" si="15"/>
        <v>186.61754238339387</v>
      </c>
      <c r="F14">
        <f t="shared" si="2"/>
        <v>85.996499383393882</v>
      </c>
      <c r="G14">
        <f t="shared" si="3"/>
        <v>0.76553402774727519</v>
      </c>
      <c r="H14">
        <f t="shared" si="4"/>
        <v>4.1024924722527247</v>
      </c>
      <c r="I14">
        <v>4.6353764999999996</v>
      </c>
      <c r="J14">
        <f t="shared" si="5"/>
        <v>4.8680264999999991</v>
      </c>
      <c r="K14">
        <f t="shared" si="14"/>
        <v>12.534999999999984</v>
      </c>
      <c r="L14">
        <v>3.6</v>
      </c>
      <c r="M14">
        <f t="shared" si="6"/>
        <v>0.56407499999999922</v>
      </c>
      <c r="N14">
        <f t="shared" si="7"/>
        <v>4.1640749999999995</v>
      </c>
      <c r="O14">
        <f t="shared" si="8"/>
        <v>4.1640749999999995</v>
      </c>
      <c r="P14">
        <f t="shared" si="9"/>
        <v>44.7</v>
      </c>
      <c r="Q14">
        <v>3</v>
      </c>
      <c r="R14">
        <f t="shared" si="10"/>
        <v>2.2350000000000003</v>
      </c>
      <c r="S14">
        <f t="shared" si="11"/>
        <v>5.2350000000000003</v>
      </c>
      <c r="T14">
        <f t="shared" si="12"/>
        <v>5.2350000000000003</v>
      </c>
      <c r="U14">
        <v>1.5</v>
      </c>
      <c r="V14">
        <v>14</v>
      </c>
      <c r="W14">
        <v>0</v>
      </c>
      <c r="AF14">
        <v>5.5</v>
      </c>
      <c r="AG14">
        <v>1.3</v>
      </c>
      <c r="AH14">
        <v>0.3</v>
      </c>
      <c r="AI14">
        <v>5</v>
      </c>
      <c r="AJ14">
        <v>0.5</v>
      </c>
      <c r="AK14">
        <v>1.5462750000000001</v>
      </c>
      <c r="AL14">
        <v>0.30965500000000001</v>
      </c>
      <c r="AM14">
        <v>6.1931000000000003</v>
      </c>
      <c r="AN14">
        <f t="shared" ref="AN14:AN21" si="16">AO14+AP14-AP15</f>
        <v>0.63900000000000023</v>
      </c>
      <c r="AO14">
        <f t="shared" ref="AO14:AO21" si="17">0.05*AP14</f>
        <v>0.15900000000000003</v>
      </c>
      <c r="AP14">
        <v>3.18</v>
      </c>
      <c r="AQ14">
        <v>6.8000000000000005E-2</v>
      </c>
      <c r="AR14">
        <v>1.7766514911171899E-2</v>
      </c>
      <c r="AS14">
        <v>0.35533029822343798</v>
      </c>
      <c r="AT14">
        <v>0.57569999999999999</v>
      </c>
      <c r="AU14">
        <v>0.11253275</v>
      </c>
      <c r="AV14">
        <v>2.2506550000000001</v>
      </c>
      <c r="AW14">
        <v>1.0680000000000001</v>
      </c>
      <c r="AX14">
        <f t="shared" si="13"/>
        <v>7.2622879999999999</v>
      </c>
    </row>
    <row r="15" spans="1:50">
      <c r="A15">
        <v>1782</v>
      </c>
      <c r="B15">
        <f t="shared" si="0"/>
        <v>21.143611500000006</v>
      </c>
      <c r="C15">
        <f t="shared" si="1"/>
        <v>7.2868450316608255</v>
      </c>
      <c r="D15">
        <f t="shared" si="15"/>
        <v>173.8896883556466</v>
      </c>
      <c r="F15">
        <f t="shared" si="2"/>
        <v>85.230965355646603</v>
      </c>
      <c r="G15">
        <f t="shared" si="3"/>
        <v>0.79998305899590227</v>
      </c>
      <c r="H15">
        <f t="shared" si="4"/>
        <v>4.0680434410040966</v>
      </c>
      <c r="I15">
        <v>4.6353764999999996</v>
      </c>
      <c r="J15">
        <f t="shared" si="5"/>
        <v>4.8680264999999991</v>
      </c>
      <c r="K15">
        <f t="shared" si="14"/>
        <v>8.9349999999999845</v>
      </c>
      <c r="L15">
        <v>3.6</v>
      </c>
      <c r="M15">
        <f t="shared" si="6"/>
        <v>0.40207499999999929</v>
      </c>
      <c r="N15">
        <f t="shared" si="7"/>
        <v>4.0020749999999996</v>
      </c>
      <c r="O15">
        <f t="shared" si="8"/>
        <v>4.0020749999999996</v>
      </c>
      <c r="P15">
        <f t="shared" si="9"/>
        <v>41.7</v>
      </c>
      <c r="Q15">
        <v>3</v>
      </c>
      <c r="R15">
        <f t="shared" si="10"/>
        <v>2.0850000000000004</v>
      </c>
      <c r="S15">
        <f t="shared" si="11"/>
        <v>5.0850000000000009</v>
      </c>
      <c r="T15">
        <f t="shared" si="12"/>
        <v>5.0850000000000009</v>
      </c>
      <c r="U15">
        <v>2.2000000000000002</v>
      </c>
      <c r="V15">
        <v>13</v>
      </c>
      <c r="W15">
        <v>0.1</v>
      </c>
      <c r="AF15">
        <v>5.5</v>
      </c>
      <c r="AG15">
        <v>1.25</v>
      </c>
      <c r="AH15">
        <v>0.25</v>
      </c>
      <c r="AI15">
        <v>4</v>
      </c>
      <c r="AJ15">
        <v>0.5</v>
      </c>
      <c r="AK15">
        <v>1.4843440000000001</v>
      </c>
      <c r="AL15">
        <v>0.247724</v>
      </c>
      <c r="AM15">
        <v>4.9544800000000002</v>
      </c>
      <c r="AN15">
        <f t="shared" si="16"/>
        <v>0.5349999999999997</v>
      </c>
      <c r="AO15">
        <f t="shared" si="17"/>
        <v>0.13500000000000001</v>
      </c>
      <c r="AP15">
        <f>AP14-0.48</f>
        <v>2.7</v>
      </c>
      <c r="AQ15">
        <v>6.8000000000000005E-2</v>
      </c>
      <c r="AR15">
        <v>1.52548406567305E-2</v>
      </c>
      <c r="AS15">
        <v>0.30509681313461001</v>
      </c>
      <c r="AT15">
        <v>0.55331399999999997</v>
      </c>
      <c r="AU15">
        <v>8.3747749999999996E-2</v>
      </c>
      <c r="AV15">
        <v>1.674955</v>
      </c>
      <c r="AW15">
        <v>0.49785200000000002</v>
      </c>
      <c r="AX15">
        <f t="shared" si="13"/>
        <v>6.1942880000000002</v>
      </c>
    </row>
    <row r="16" spans="1:50">
      <c r="A16">
        <v>1783</v>
      </c>
      <c r="B16">
        <f t="shared" si="0"/>
        <v>22.653264499999988</v>
      </c>
      <c r="C16">
        <f t="shared" si="1"/>
        <v>6.7766118360388488</v>
      </c>
      <c r="D16">
        <f t="shared" si="15"/>
        <v>161.7999192966507</v>
      </c>
      <c r="F16">
        <f t="shared" si="2"/>
        <v>84.430982296650711</v>
      </c>
      <c r="G16">
        <f t="shared" si="3"/>
        <v>0.83598229665071766</v>
      </c>
      <c r="H16">
        <f t="shared" si="4"/>
        <v>4.0320442033492814</v>
      </c>
      <c r="I16">
        <v>4.6353764999999996</v>
      </c>
      <c r="J16">
        <f t="shared" si="5"/>
        <v>4.8680264999999991</v>
      </c>
      <c r="K16">
        <f t="shared" si="14"/>
        <v>5.3349999999999849</v>
      </c>
      <c r="L16">
        <f>K16</f>
        <v>5.3349999999999849</v>
      </c>
      <c r="M16">
        <f t="shared" si="6"/>
        <v>0.24007499999999932</v>
      </c>
      <c r="N16">
        <f>K16*1.045</f>
        <v>5.575074999999984</v>
      </c>
      <c r="O16">
        <f>3.6+L16*0.045</f>
        <v>3.8400749999999992</v>
      </c>
      <c r="P16">
        <v>38.700000000000003</v>
      </c>
      <c r="Q16">
        <v>3</v>
      </c>
      <c r="R16">
        <f t="shared" si="10"/>
        <v>1.9350000000000003</v>
      </c>
      <c r="S16">
        <f t="shared" si="11"/>
        <v>4.9350000000000005</v>
      </c>
      <c r="T16">
        <f t="shared" si="12"/>
        <v>4.9350000000000005</v>
      </c>
      <c r="U16">
        <v>2.5</v>
      </c>
      <c r="V16">
        <v>12</v>
      </c>
      <c r="W16">
        <v>0.1</v>
      </c>
      <c r="AF16">
        <v>5.5</v>
      </c>
      <c r="AG16">
        <v>1.2</v>
      </c>
      <c r="AH16">
        <v>0.2</v>
      </c>
      <c r="AI16">
        <v>3</v>
      </c>
      <c r="AJ16">
        <v>0.5</v>
      </c>
      <c r="AK16">
        <v>1.4224129999999999</v>
      </c>
      <c r="AL16">
        <v>0.18579300000000001</v>
      </c>
      <c r="AM16">
        <v>3.7158600000000002</v>
      </c>
      <c r="AN16">
        <f t="shared" si="16"/>
        <v>0.51500000000000012</v>
      </c>
      <c r="AO16">
        <f t="shared" si="17"/>
        <v>0.11500000000000002</v>
      </c>
      <c r="AP16">
        <f t="shared" ref="AP16:AP21" si="18">AP15-0.4</f>
        <v>2.3000000000000003</v>
      </c>
      <c r="AQ16">
        <v>6.8000000000000005E-2</v>
      </c>
      <c r="AR16">
        <v>1.2617582689566999E-2</v>
      </c>
      <c r="AS16">
        <v>0.25235165379134</v>
      </c>
      <c r="AT16">
        <v>0.55331399999999997</v>
      </c>
      <c r="AU16">
        <v>5.6082050000000001E-2</v>
      </c>
      <c r="AV16">
        <v>1.1216410000000001</v>
      </c>
      <c r="AW16">
        <v>0.41643599999999997</v>
      </c>
      <c r="AX16">
        <f t="shared" si="13"/>
        <v>5.6964360000000003</v>
      </c>
    </row>
    <row r="17" spans="1:50">
      <c r="A17">
        <v>1784</v>
      </c>
      <c r="B17">
        <f t="shared" si="0"/>
        <v>16.377570999999996</v>
      </c>
      <c r="C17">
        <f t="shared" si="1"/>
        <v>6.1829018118240446</v>
      </c>
      <c r="D17">
        <f t="shared" si="15"/>
        <v>149.68256700000001</v>
      </c>
      <c r="F17">
        <f>F18+G17</f>
        <v>83.594999999999999</v>
      </c>
      <c r="G17">
        <v>0.875</v>
      </c>
      <c r="H17">
        <f t="shared" si="4"/>
        <v>3.9944249999999997</v>
      </c>
      <c r="I17">
        <f t="shared" ref="I17:I41" si="19">G17+0.045*F17</f>
        <v>4.6367750000000001</v>
      </c>
      <c r="J17">
        <f t="shared" si="5"/>
        <v>4.8694249999999997</v>
      </c>
      <c r="K17">
        <f>K16-3.6</f>
        <v>1.7349999999999848</v>
      </c>
      <c r="O17">
        <f>K17*1.045</f>
        <v>1.813074999999984</v>
      </c>
      <c r="P17">
        <f>P18+Q17</f>
        <v>35.627000000000002</v>
      </c>
      <c r="Q17">
        <v>3</v>
      </c>
      <c r="R17">
        <f t="shared" si="10"/>
        <v>1.7813500000000002</v>
      </c>
      <c r="S17">
        <f t="shared" si="11"/>
        <v>4.7813499999999998</v>
      </c>
      <c r="T17">
        <f t="shared" si="12"/>
        <v>4.7813499999999998</v>
      </c>
      <c r="U17">
        <v>2.5</v>
      </c>
      <c r="V17">
        <v>11</v>
      </c>
      <c r="W17">
        <v>0.1</v>
      </c>
      <c r="AF17">
        <v>5.5</v>
      </c>
      <c r="AG17">
        <v>1.1499999999999999</v>
      </c>
      <c r="AH17">
        <v>0.15</v>
      </c>
      <c r="AI17">
        <v>2</v>
      </c>
      <c r="AJ17">
        <v>0.5</v>
      </c>
      <c r="AK17">
        <v>1.360482</v>
      </c>
      <c r="AL17">
        <v>0.123862</v>
      </c>
      <c r="AM17">
        <v>2.4772400000000001</v>
      </c>
      <c r="AN17">
        <f t="shared" si="16"/>
        <v>0.49499999999999988</v>
      </c>
      <c r="AO17">
        <f t="shared" si="17"/>
        <v>9.5000000000000029E-2</v>
      </c>
      <c r="AP17">
        <f t="shared" si="18"/>
        <v>1.9000000000000004</v>
      </c>
      <c r="AQ17">
        <v>6.8000000000000005E-2</v>
      </c>
      <c r="AR17">
        <v>9.8484618240453504E-3</v>
      </c>
      <c r="AS17">
        <v>0.196969236480907</v>
      </c>
      <c r="AT17">
        <v>0.55331399999999997</v>
      </c>
      <c r="AU17">
        <v>2.841635E-2</v>
      </c>
      <c r="AV17">
        <v>0.56832700000000003</v>
      </c>
      <c r="AX17">
        <f t="shared" si="13"/>
        <v>5.28</v>
      </c>
    </row>
    <row r="18" spans="1:50">
      <c r="A18">
        <v>1785</v>
      </c>
      <c r="B18">
        <f t="shared" si="0"/>
        <v>33.223451000000004</v>
      </c>
      <c r="C18">
        <f t="shared" si="1"/>
        <v>5.8302718849152484</v>
      </c>
      <c r="D18">
        <f t="shared" si="15"/>
        <v>139.86562000000001</v>
      </c>
      <c r="F18">
        <f>F19+G18</f>
        <v>82.72</v>
      </c>
      <c r="G18">
        <v>0.91249999999999998</v>
      </c>
      <c r="H18">
        <f t="shared" si="4"/>
        <v>3.95505</v>
      </c>
      <c r="I18">
        <f t="shared" si="19"/>
        <v>4.6349</v>
      </c>
      <c r="J18">
        <f t="shared" si="5"/>
        <v>4.8675499999999996</v>
      </c>
      <c r="P18">
        <v>32.627000000000002</v>
      </c>
      <c r="Q18">
        <f>3+17.683</f>
        <v>20.683</v>
      </c>
      <c r="R18">
        <f t="shared" si="10"/>
        <v>1.6313500000000003</v>
      </c>
      <c r="S18">
        <f t="shared" si="11"/>
        <v>22.314350000000001</v>
      </c>
      <c r="T18">
        <f t="shared" ref="T18:T27" si="20">3+P18*0.05</f>
        <v>4.6313500000000003</v>
      </c>
      <c r="U18">
        <v>2.5</v>
      </c>
      <c r="V18">
        <v>10</v>
      </c>
      <c r="W18">
        <v>0.1</v>
      </c>
      <c r="AF18">
        <v>5.5</v>
      </c>
      <c r="AG18">
        <v>1.1000000000000001</v>
      </c>
      <c r="AH18">
        <v>0.1</v>
      </c>
      <c r="AI18">
        <v>1</v>
      </c>
      <c r="AJ18">
        <v>0.5</v>
      </c>
      <c r="AK18">
        <v>1.298551</v>
      </c>
      <c r="AL18">
        <v>6.1931E-2</v>
      </c>
      <c r="AM18">
        <v>1.2386200000000001</v>
      </c>
      <c r="AN18">
        <f t="shared" si="16"/>
        <v>0.47499999999999987</v>
      </c>
      <c r="AO18">
        <f t="shared" si="17"/>
        <v>7.5000000000000025E-2</v>
      </c>
      <c r="AP18">
        <f t="shared" si="18"/>
        <v>1.5000000000000004</v>
      </c>
      <c r="AQ18">
        <v>6.8000000000000005E-2</v>
      </c>
      <c r="AR18">
        <v>6.9408849152476203E-3</v>
      </c>
      <c r="AS18">
        <v>0.138817698304952</v>
      </c>
      <c r="AX18">
        <f t="shared" si="13"/>
        <v>5.28</v>
      </c>
    </row>
    <row r="19" spans="1:50">
      <c r="A19">
        <v>1786</v>
      </c>
      <c r="B19">
        <f t="shared" si="0"/>
        <v>21.280987499999998</v>
      </c>
      <c r="C19">
        <f t="shared" si="1"/>
        <v>5.4542254291610099</v>
      </c>
      <c r="D19">
        <f t="shared" si="15"/>
        <v>132.31450000000001</v>
      </c>
      <c r="F19">
        <f>F20+G19</f>
        <v>81.807500000000005</v>
      </c>
      <c r="G19">
        <v>0.95499999999999996</v>
      </c>
      <c r="H19">
        <f t="shared" si="4"/>
        <v>3.9139875000000002</v>
      </c>
      <c r="I19">
        <f t="shared" si="19"/>
        <v>4.6363374999999998</v>
      </c>
      <c r="J19">
        <f t="shared" si="5"/>
        <v>4.8689874999999994</v>
      </c>
      <c r="P19">
        <f t="shared" ref="P19:P28" si="21">P18-3</f>
        <v>29.627000000000002</v>
      </c>
      <c r="Q19">
        <v>12.789</v>
      </c>
      <c r="R19">
        <f t="shared" si="10"/>
        <v>1.4813500000000002</v>
      </c>
      <c r="S19">
        <f>Q19</f>
        <v>12.789</v>
      </c>
      <c r="T19">
        <f t="shared" si="20"/>
        <v>4.4813499999999999</v>
      </c>
      <c r="U19">
        <v>2.5</v>
      </c>
      <c r="V19">
        <v>9</v>
      </c>
      <c r="W19">
        <v>0.1</v>
      </c>
      <c r="AF19">
        <v>5.5</v>
      </c>
      <c r="AI19">
        <v>0</v>
      </c>
      <c r="AJ19">
        <v>0.5</v>
      </c>
      <c r="AM19">
        <v>0</v>
      </c>
      <c r="AN19">
        <f t="shared" si="16"/>
        <v>0.45499999999999996</v>
      </c>
      <c r="AO19">
        <f t="shared" si="17"/>
        <v>5.5000000000000028E-2</v>
      </c>
      <c r="AP19">
        <f t="shared" si="18"/>
        <v>1.1000000000000005</v>
      </c>
      <c r="AQ19">
        <v>6.8000000000000005E-2</v>
      </c>
      <c r="AR19">
        <v>3.8879291610100001E-3</v>
      </c>
      <c r="AS19">
        <v>7.7758583220200003E-2</v>
      </c>
      <c r="AX19">
        <f t="shared" si="13"/>
        <v>5.28</v>
      </c>
    </row>
    <row r="20" spans="1:50">
      <c r="A20">
        <v>1787</v>
      </c>
      <c r="B20">
        <f t="shared" si="0"/>
        <v>8.4153413380002693</v>
      </c>
      <c r="C20">
        <f t="shared" si="1"/>
        <v>3.9066948256190606</v>
      </c>
      <c r="D20">
        <f t="shared" si="15"/>
        <v>126.95950000000001</v>
      </c>
      <c r="F20">
        <f>F21+G20</f>
        <v>80.852500000000006</v>
      </c>
      <c r="G20">
        <v>0.995</v>
      </c>
      <c r="H20">
        <f t="shared" si="4"/>
        <v>3.8710125</v>
      </c>
      <c r="I20">
        <f t="shared" si="19"/>
        <v>4.6333624999999996</v>
      </c>
      <c r="J20">
        <f t="shared" si="5"/>
        <v>4.8660124999999992</v>
      </c>
      <c r="P20">
        <f t="shared" si="21"/>
        <v>26.627000000000002</v>
      </c>
      <c r="T20">
        <f t="shared" si="20"/>
        <v>4.3313500000000005</v>
      </c>
      <c r="U20">
        <v>2.5</v>
      </c>
      <c r="V20">
        <v>8</v>
      </c>
      <c r="W20">
        <v>0.1</v>
      </c>
      <c r="AF20">
        <v>5.5</v>
      </c>
      <c r="AJ20">
        <v>0.5</v>
      </c>
      <c r="AN20">
        <f t="shared" si="16"/>
        <v>0.43500000000000005</v>
      </c>
      <c r="AO20">
        <f t="shared" si="17"/>
        <v>3.5000000000000024E-2</v>
      </c>
      <c r="AP20">
        <f t="shared" si="18"/>
        <v>0.70000000000000051</v>
      </c>
      <c r="AQ20">
        <v>1.4328838000270501E-2</v>
      </c>
      <c r="AR20">
        <v>6.8232561906050101E-4</v>
      </c>
      <c r="AS20">
        <v>1.3646512381210001E-2</v>
      </c>
      <c r="AX20">
        <f t="shared" si="13"/>
        <v>5.28</v>
      </c>
    </row>
    <row r="21" spans="1:50">
      <c r="A21">
        <v>1788</v>
      </c>
      <c r="B21">
        <f t="shared" si="0"/>
        <v>16.313737500000002</v>
      </c>
      <c r="C21">
        <f t="shared" si="1"/>
        <v>7.6912374999999997</v>
      </c>
      <c r="D21">
        <f t="shared" si="15"/>
        <v>198.56450000000001</v>
      </c>
      <c r="F21">
        <v>79.857500000000002</v>
      </c>
      <c r="G21">
        <v>1.0425</v>
      </c>
      <c r="H21">
        <f t="shared" si="4"/>
        <v>3.8262375</v>
      </c>
      <c r="I21">
        <f t="shared" si="19"/>
        <v>4.6360875000000004</v>
      </c>
      <c r="J21">
        <f t="shared" si="5"/>
        <v>4.8687374999999999</v>
      </c>
      <c r="P21">
        <f t="shared" si="21"/>
        <v>23.627000000000002</v>
      </c>
      <c r="T21">
        <f t="shared" si="20"/>
        <v>4.1813500000000001</v>
      </c>
      <c r="U21">
        <v>2.5</v>
      </c>
      <c r="V21">
        <v>7</v>
      </c>
      <c r="W21">
        <v>2</v>
      </c>
      <c r="Y21">
        <v>0.35</v>
      </c>
      <c r="Z21">
        <f>Y21</f>
        <v>0.35</v>
      </c>
      <c r="AA21">
        <v>7</v>
      </c>
      <c r="AB21">
        <v>3.5</v>
      </c>
      <c r="AC21">
        <v>3.5</v>
      </c>
      <c r="AD21">
        <v>70</v>
      </c>
      <c r="AF21">
        <v>5.5</v>
      </c>
      <c r="AJ21">
        <v>0.5</v>
      </c>
      <c r="AN21">
        <f t="shared" si="16"/>
        <v>0.3150000000000005</v>
      </c>
      <c r="AO21">
        <f t="shared" si="17"/>
        <v>1.5000000000000025E-2</v>
      </c>
      <c r="AP21">
        <f t="shared" si="18"/>
        <v>0.30000000000000049</v>
      </c>
      <c r="AW21">
        <v>2.2799999999999998</v>
      </c>
      <c r="AX21">
        <f t="shared" si="13"/>
        <v>5.28</v>
      </c>
    </row>
    <row r="22" spans="1:50">
      <c r="A22">
        <v>1789</v>
      </c>
      <c r="B22">
        <f t="shared" si="0"/>
        <v>15.636824999999998</v>
      </c>
      <c r="C22">
        <f t="shared" si="1"/>
        <v>7.6293249999999997</v>
      </c>
      <c r="D22">
        <f t="shared" si="15"/>
        <v>190.94200000000001</v>
      </c>
      <c r="F22">
        <f t="shared" ref="F22:F54" si="22">F21-G21</f>
        <v>78.814999999999998</v>
      </c>
      <c r="G22">
        <v>1.0874999999999999</v>
      </c>
      <c r="H22">
        <f t="shared" si="4"/>
        <v>3.7793249999999996</v>
      </c>
      <c r="I22">
        <f t="shared" si="19"/>
        <v>4.634174999999999</v>
      </c>
      <c r="J22">
        <f t="shared" si="5"/>
        <v>4.8668249999999986</v>
      </c>
      <c r="P22">
        <f t="shared" si="21"/>
        <v>20.627000000000002</v>
      </c>
      <c r="T22">
        <f t="shared" si="20"/>
        <v>4.0313499999999998</v>
      </c>
      <c r="U22">
        <v>2.5</v>
      </c>
      <c r="V22">
        <v>6</v>
      </c>
      <c r="W22">
        <v>2</v>
      </c>
      <c r="Y22">
        <v>0.42</v>
      </c>
      <c r="Z22">
        <f t="shared" ref="Z22:Z58" si="23">AA21*0.05</f>
        <v>0.35000000000000003</v>
      </c>
      <c r="AA22">
        <v>7</v>
      </c>
      <c r="AB22">
        <v>3.5</v>
      </c>
      <c r="AC22">
        <v>3.5</v>
      </c>
      <c r="AD22">
        <v>70</v>
      </c>
      <c r="AF22">
        <v>5.5</v>
      </c>
      <c r="AJ22">
        <v>0.5</v>
      </c>
      <c r="AW22">
        <v>1.85</v>
      </c>
      <c r="AX22">
        <f t="shared" si="13"/>
        <v>3.0000000000000004</v>
      </c>
    </row>
    <row r="23" spans="1:50">
      <c r="A23">
        <v>1790</v>
      </c>
      <c r="B23">
        <f t="shared" si="0"/>
        <v>17.037887499999997</v>
      </c>
      <c r="C23">
        <f t="shared" si="1"/>
        <v>7.5803874999999996</v>
      </c>
      <c r="D23">
        <f t="shared" si="15"/>
        <v>183.93450000000001</v>
      </c>
      <c r="F23">
        <f t="shared" si="22"/>
        <v>77.727499999999992</v>
      </c>
      <c r="G23">
        <v>1.1375</v>
      </c>
      <c r="H23">
        <f t="shared" si="4"/>
        <v>3.7303874999999995</v>
      </c>
      <c r="I23">
        <f t="shared" si="19"/>
        <v>4.6352374999999997</v>
      </c>
      <c r="J23">
        <f t="shared" si="5"/>
        <v>4.8678874999999993</v>
      </c>
      <c r="P23">
        <f t="shared" si="21"/>
        <v>17.627000000000002</v>
      </c>
      <c r="T23">
        <f t="shared" si="20"/>
        <v>3.8813500000000003</v>
      </c>
      <c r="U23">
        <v>2.5</v>
      </c>
      <c r="V23">
        <v>5</v>
      </c>
      <c r="W23">
        <v>2</v>
      </c>
      <c r="Y23">
        <v>0.42</v>
      </c>
      <c r="Z23">
        <f t="shared" si="23"/>
        <v>0.35000000000000003</v>
      </c>
      <c r="AA23">
        <v>6.93</v>
      </c>
      <c r="AB23">
        <v>5.6</v>
      </c>
      <c r="AC23">
        <v>3.5</v>
      </c>
      <c r="AD23">
        <v>70</v>
      </c>
      <c r="AF23">
        <v>5.5</v>
      </c>
      <c r="AJ23">
        <v>0.5</v>
      </c>
      <c r="AW23">
        <v>1.1499999999999999</v>
      </c>
      <c r="AX23">
        <f t="shared" si="13"/>
        <v>1.1500000000000004</v>
      </c>
    </row>
    <row r="24" spans="1:50">
      <c r="A24">
        <v>1791</v>
      </c>
      <c r="B24">
        <f t="shared" si="0"/>
        <v>15.889199999999999</v>
      </c>
      <c r="C24">
        <f t="shared" si="1"/>
        <v>7.4207000000000001</v>
      </c>
      <c r="D24">
        <f t="shared" si="15"/>
        <v>175.4735</v>
      </c>
      <c r="F24">
        <f t="shared" si="22"/>
        <v>76.589999999999989</v>
      </c>
      <c r="G24">
        <v>1.19</v>
      </c>
      <c r="H24">
        <f t="shared" si="4"/>
        <v>3.6791999999999994</v>
      </c>
      <c r="I24">
        <f t="shared" si="19"/>
        <v>4.6365499999999997</v>
      </c>
      <c r="J24">
        <f t="shared" si="5"/>
        <v>4.8691999999999993</v>
      </c>
      <c r="P24">
        <f t="shared" si="21"/>
        <v>14.627000000000002</v>
      </c>
      <c r="T24">
        <f t="shared" si="20"/>
        <v>3.7313499999999999</v>
      </c>
      <c r="U24">
        <v>2.5</v>
      </c>
      <c r="V24">
        <v>4</v>
      </c>
      <c r="W24">
        <v>2</v>
      </c>
      <c r="Y24">
        <v>0.42</v>
      </c>
      <c r="Z24">
        <f t="shared" si="23"/>
        <v>0.34650000000000003</v>
      </c>
      <c r="AA24">
        <v>6.8564999999999996</v>
      </c>
      <c r="AB24">
        <v>5.6</v>
      </c>
      <c r="AC24">
        <v>3.395</v>
      </c>
      <c r="AD24">
        <v>67.900000000000006</v>
      </c>
      <c r="AF24">
        <v>5.5</v>
      </c>
      <c r="AJ24">
        <v>0.5</v>
      </c>
    </row>
    <row r="25" spans="1:50">
      <c r="A25">
        <v>1792</v>
      </c>
      <c r="B25">
        <f t="shared" si="0"/>
        <v>15.88815</v>
      </c>
      <c r="C25">
        <f t="shared" si="1"/>
        <v>7.2532249999999987</v>
      </c>
      <c r="D25">
        <f t="shared" si="15"/>
        <v>168.00132499999998</v>
      </c>
      <c r="F25">
        <f t="shared" si="22"/>
        <v>75.399999999999991</v>
      </c>
      <c r="G25">
        <v>1.2424999999999999</v>
      </c>
      <c r="H25">
        <f t="shared" si="4"/>
        <v>3.6256499999999994</v>
      </c>
      <c r="I25">
        <f t="shared" si="19"/>
        <v>4.6354999999999995</v>
      </c>
      <c r="J25">
        <f t="shared" si="5"/>
        <v>4.8681499999999991</v>
      </c>
      <c r="P25">
        <f t="shared" si="21"/>
        <v>11.627000000000002</v>
      </c>
      <c r="T25">
        <f t="shared" si="20"/>
        <v>3.58135</v>
      </c>
      <c r="U25">
        <v>2.5</v>
      </c>
      <c r="V25">
        <v>3</v>
      </c>
      <c r="W25">
        <v>2</v>
      </c>
      <c r="Y25">
        <v>0.42</v>
      </c>
      <c r="Z25">
        <f t="shared" si="23"/>
        <v>0.34282499999999999</v>
      </c>
      <c r="AA25">
        <v>6.779325</v>
      </c>
      <c r="AB25">
        <v>5.6</v>
      </c>
      <c r="AC25">
        <v>3.2847499999999998</v>
      </c>
      <c r="AD25">
        <v>65.694999999999993</v>
      </c>
      <c r="AF25">
        <v>5.5</v>
      </c>
      <c r="AJ25">
        <v>0.5</v>
      </c>
    </row>
    <row r="26" spans="1:50">
      <c r="A26">
        <v>1793</v>
      </c>
      <c r="B26">
        <f t="shared" si="0"/>
        <v>14.087237499999999</v>
      </c>
      <c r="C26">
        <f t="shared" si="1"/>
        <v>7.0776912499999991</v>
      </c>
      <c r="D26">
        <f t="shared" si="15"/>
        <v>160.36254124999999</v>
      </c>
      <c r="F26">
        <f t="shared" si="22"/>
        <v>74.157499999999985</v>
      </c>
      <c r="G26">
        <v>1.2975000000000001</v>
      </c>
      <c r="H26">
        <f t="shared" si="4"/>
        <v>3.5697374999999991</v>
      </c>
      <c r="I26">
        <f t="shared" si="19"/>
        <v>4.6345874999999994</v>
      </c>
      <c r="J26">
        <f t="shared" si="5"/>
        <v>4.867237499999999</v>
      </c>
      <c r="P26">
        <f t="shared" si="21"/>
        <v>8.6270000000000024</v>
      </c>
      <c r="T26">
        <f t="shared" si="20"/>
        <v>3.4313500000000001</v>
      </c>
      <c r="U26">
        <v>2.5</v>
      </c>
      <c r="V26">
        <v>2</v>
      </c>
      <c r="W26">
        <v>0.2</v>
      </c>
      <c r="Y26">
        <v>0.42</v>
      </c>
      <c r="Z26">
        <f t="shared" si="23"/>
        <v>0.33896625000000002</v>
      </c>
      <c r="AA26">
        <v>6.6982912499999996</v>
      </c>
      <c r="AB26">
        <v>5.6</v>
      </c>
      <c r="AC26">
        <v>3.1689875000000001</v>
      </c>
      <c r="AD26">
        <v>63.379750000000001</v>
      </c>
      <c r="AF26">
        <v>5.5</v>
      </c>
      <c r="AJ26">
        <v>0.5</v>
      </c>
    </row>
    <row r="27" spans="1:50">
      <c r="A27">
        <v>1794</v>
      </c>
      <c r="B27">
        <f t="shared" si="0"/>
        <v>14.088849999999997</v>
      </c>
      <c r="C27">
        <f t="shared" si="1"/>
        <v>6.893701437499999</v>
      </c>
      <c r="D27">
        <f t="shared" si="15"/>
        <v>152.5489433125</v>
      </c>
      <c r="F27">
        <f t="shared" si="22"/>
        <v>72.859999999999985</v>
      </c>
      <c r="G27">
        <v>1.3574999999999999</v>
      </c>
      <c r="H27">
        <f t="shared" si="4"/>
        <v>3.5113499999999993</v>
      </c>
      <c r="I27">
        <f t="shared" si="19"/>
        <v>4.6361999999999988</v>
      </c>
      <c r="J27">
        <f t="shared" si="5"/>
        <v>4.8688499999999983</v>
      </c>
      <c r="P27">
        <f t="shared" si="21"/>
        <v>5.6270000000000024</v>
      </c>
      <c r="T27">
        <f t="shared" si="20"/>
        <v>3.2813500000000002</v>
      </c>
      <c r="U27">
        <v>2.5</v>
      </c>
      <c r="V27">
        <v>1</v>
      </c>
      <c r="W27">
        <v>0.2</v>
      </c>
      <c r="Y27">
        <v>0.42</v>
      </c>
      <c r="Z27">
        <f t="shared" si="23"/>
        <v>0.33491456250000001</v>
      </c>
      <c r="AA27">
        <v>6.6132058125000004</v>
      </c>
      <c r="AB27">
        <v>5.6</v>
      </c>
      <c r="AC27">
        <v>3.0474368749999998</v>
      </c>
      <c r="AD27">
        <v>60.9487375</v>
      </c>
      <c r="AF27">
        <v>5.5</v>
      </c>
      <c r="AJ27">
        <v>0.5</v>
      </c>
    </row>
    <row r="28" spans="1:50">
      <c r="A28">
        <v>1795</v>
      </c>
      <c r="B28">
        <f t="shared" si="0"/>
        <v>12.487762499999999</v>
      </c>
      <c r="C28">
        <f t="shared" si="1"/>
        <v>6.7007315093749993</v>
      </c>
      <c r="D28">
        <f t="shared" si="15"/>
        <v>144.54954047812498</v>
      </c>
      <c r="F28">
        <f t="shared" si="22"/>
        <v>71.502499999999984</v>
      </c>
      <c r="G28">
        <v>1.4175</v>
      </c>
      <c r="H28">
        <f t="shared" si="4"/>
        <v>3.4502624999999991</v>
      </c>
      <c r="I28">
        <f t="shared" si="19"/>
        <v>4.6351124999999991</v>
      </c>
      <c r="J28">
        <f t="shared" si="5"/>
        <v>4.8677624999999987</v>
      </c>
      <c r="P28">
        <f t="shared" si="21"/>
        <v>2.6270000000000024</v>
      </c>
      <c r="T28">
        <f>P28*1.05</f>
        <v>2.7583500000000027</v>
      </c>
      <c r="U28">
        <v>1.5</v>
      </c>
      <c r="V28">
        <v>0</v>
      </c>
      <c r="W28">
        <v>0.1</v>
      </c>
      <c r="Y28">
        <v>0.42</v>
      </c>
      <c r="Z28">
        <f t="shared" si="23"/>
        <v>0.33066029062500002</v>
      </c>
      <c r="AA28">
        <v>6.523866103125</v>
      </c>
      <c r="AB28">
        <v>5.6</v>
      </c>
      <c r="AC28">
        <v>2.9198087187500001</v>
      </c>
      <c r="AD28">
        <v>58.396174375000001</v>
      </c>
      <c r="AF28">
        <v>5.5</v>
      </c>
    </row>
    <row r="29" spans="1:50">
      <c r="A29">
        <v>1796</v>
      </c>
      <c r="B29">
        <f t="shared" si="0"/>
        <v>12.486474999999999</v>
      </c>
      <c r="C29">
        <f t="shared" si="1"/>
        <v>6.4984674598437486</v>
      </c>
      <c r="D29">
        <f t="shared" si="15"/>
        <v>136.73104250203124</v>
      </c>
      <c r="F29">
        <f t="shared" si="22"/>
        <v>70.08499999999998</v>
      </c>
      <c r="G29">
        <v>1.48</v>
      </c>
      <c r="H29">
        <f t="shared" si="4"/>
        <v>3.386474999999999</v>
      </c>
      <c r="I29">
        <f t="shared" si="19"/>
        <v>4.633824999999999</v>
      </c>
      <c r="J29">
        <f t="shared" si="5"/>
        <v>4.8664749999999986</v>
      </c>
      <c r="U29">
        <v>1.5</v>
      </c>
      <c r="V29">
        <v>-1</v>
      </c>
      <c r="W29">
        <v>0.1</v>
      </c>
      <c r="Y29">
        <v>0.42</v>
      </c>
      <c r="Z29">
        <f t="shared" si="23"/>
        <v>0.32619330515625</v>
      </c>
      <c r="AA29">
        <v>6.4300594082812497</v>
      </c>
      <c r="AB29">
        <v>5.6</v>
      </c>
      <c r="AC29">
        <v>2.7857991546875001</v>
      </c>
      <c r="AD29">
        <v>55.715983093749998</v>
      </c>
      <c r="AF29">
        <v>5.5</v>
      </c>
    </row>
    <row r="30" spans="1:50">
      <c r="A30">
        <v>1797</v>
      </c>
      <c r="B30">
        <f t="shared" si="0"/>
        <v>12.489874999999998</v>
      </c>
      <c r="C30">
        <f t="shared" si="1"/>
        <v>6.2864670828359408</v>
      </c>
      <c r="D30">
        <f t="shared" si="15"/>
        <v>133.33834462713278</v>
      </c>
      <c r="F30">
        <f t="shared" si="22"/>
        <v>68.604999999999976</v>
      </c>
      <c r="G30">
        <v>1.55</v>
      </c>
      <c r="H30">
        <f t="shared" si="4"/>
        <v>3.3198749999999988</v>
      </c>
      <c r="I30">
        <f t="shared" si="19"/>
        <v>4.637224999999999</v>
      </c>
      <c r="J30">
        <f t="shared" si="5"/>
        <v>4.8698749999999986</v>
      </c>
      <c r="U30">
        <v>1.5</v>
      </c>
      <c r="W30">
        <v>0.1</v>
      </c>
      <c r="Y30">
        <v>0.42</v>
      </c>
      <c r="Z30">
        <f t="shared" si="23"/>
        <v>0.32150297041406251</v>
      </c>
      <c r="AA30">
        <v>6.3315623786953097</v>
      </c>
      <c r="AB30">
        <v>5.6</v>
      </c>
      <c r="AC30">
        <v>2.6450891124218798</v>
      </c>
      <c r="AD30">
        <v>52.901782248437499</v>
      </c>
      <c r="AF30">
        <v>5.5</v>
      </c>
    </row>
    <row r="31" spans="1:50">
      <c r="A31">
        <v>1798</v>
      </c>
      <c r="B31">
        <f t="shared" si="0"/>
        <v>12.487624999999998</v>
      </c>
      <c r="C31">
        <f t="shared" si="1"/>
        <v>6.0640466869777345</v>
      </c>
      <c r="D31">
        <f t="shared" si="15"/>
        <v>128.73001185848946</v>
      </c>
      <c r="F31">
        <f t="shared" si="22"/>
        <v>67.054999999999978</v>
      </c>
      <c r="G31">
        <v>1.6174999999999999</v>
      </c>
      <c r="H31">
        <f t="shared" si="4"/>
        <v>3.2501249999999988</v>
      </c>
      <c r="I31">
        <f t="shared" si="19"/>
        <v>4.634974999999999</v>
      </c>
      <c r="J31">
        <f t="shared" si="5"/>
        <v>4.8676249999999985</v>
      </c>
      <c r="U31">
        <v>1.5</v>
      </c>
      <c r="W31">
        <v>0.1</v>
      </c>
      <c r="Y31">
        <v>0.42</v>
      </c>
      <c r="Z31">
        <f t="shared" si="23"/>
        <v>0.31657811893476551</v>
      </c>
      <c r="AA31">
        <v>6.22814049763008</v>
      </c>
      <c r="AB31">
        <v>5.6</v>
      </c>
      <c r="AC31">
        <v>2.4973435680429699</v>
      </c>
      <c r="AD31">
        <v>49.946871360859397</v>
      </c>
      <c r="AF31">
        <v>5.5</v>
      </c>
    </row>
    <row r="32" spans="1:50">
      <c r="A32">
        <v>1799</v>
      </c>
      <c r="B32">
        <f t="shared" si="0"/>
        <v>12.487337499999997</v>
      </c>
      <c r="C32">
        <f t="shared" si="1"/>
        <v>5.8309552713266228</v>
      </c>
      <c r="D32">
        <f t="shared" si="15"/>
        <v>123.90126245141396</v>
      </c>
      <c r="F32">
        <f t="shared" si="22"/>
        <v>65.437499999999972</v>
      </c>
      <c r="G32">
        <v>1.69</v>
      </c>
      <c r="H32">
        <f t="shared" si="4"/>
        <v>3.1773374999999988</v>
      </c>
      <c r="I32">
        <f t="shared" si="19"/>
        <v>4.6346874999999983</v>
      </c>
      <c r="J32">
        <f t="shared" si="5"/>
        <v>4.8673374999999979</v>
      </c>
      <c r="U32">
        <v>1.5</v>
      </c>
      <c r="W32">
        <v>0.1</v>
      </c>
      <c r="Y32">
        <v>0.42</v>
      </c>
      <c r="Z32">
        <f t="shared" si="23"/>
        <v>0.31140702488150401</v>
      </c>
      <c r="AA32">
        <v>6.1195475225115796</v>
      </c>
      <c r="AB32">
        <v>5.6</v>
      </c>
      <c r="AC32">
        <v>2.3422107464451201</v>
      </c>
      <c r="AD32">
        <v>46.844214928902403</v>
      </c>
      <c r="AF32">
        <v>5.5</v>
      </c>
    </row>
    <row r="33" spans="1:32">
      <c r="A33">
        <v>1800</v>
      </c>
      <c r="B33">
        <f t="shared" si="0"/>
        <v>12.488787499999997</v>
      </c>
      <c r="C33">
        <f t="shared" si="1"/>
        <v>5.5865861598929474</v>
      </c>
      <c r="D33">
        <f t="shared" si="15"/>
        <v>118.83945057398464</v>
      </c>
      <c r="F33">
        <f t="shared" si="22"/>
        <v>63.747499999999974</v>
      </c>
      <c r="G33">
        <v>1.7675000000000001</v>
      </c>
      <c r="H33">
        <f t="shared" si="4"/>
        <v>3.1012874999999989</v>
      </c>
      <c r="I33">
        <f t="shared" si="19"/>
        <v>4.6361374999999985</v>
      </c>
      <c r="J33">
        <f t="shared" si="5"/>
        <v>4.868787499999998</v>
      </c>
      <c r="U33">
        <v>1.5</v>
      </c>
      <c r="W33">
        <v>0.1</v>
      </c>
      <c r="Y33">
        <v>0.42</v>
      </c>
      <c r="Z33">
        <f t="shared" si="23"/>
        <v>0.30597737612557901</v>
      </c>
      <c r="AA33">
        <v>6.0055248986371597</v>
      </c>
      <c r="AB33">
        <v>5.6</v>
      </c>
      <c r="AC33">
        <v>2.1793212837673699</v>
      </c>
      <c r="AD33">
        <v>43.586425675347499</v>
      </c>
      <c r="AF33">
        <v>5.5</v>
      </c>
    </row>
    <row r="34" spans="1:32">
      <c r="A34">
        <v>1801</v>
      </c>
      <c r="B34">
        <f t="shared" si="0"/>
        <v>12.486749999999997</v>
      </c>
      <c r="C34">
        <f t="shared" si="1"/>
        <v>5.3303135928875971</v>
      </c>
      <c r="D34">
        <f t="shared" si="15"/>
        <v>113.5315481026839</v>
      </c>
      <c r="F34">
        <f t="shared" si="22"/>
        <v>61.979999999999976</v>
      </c>
      <c r="G34">
        <v>1.845</v>
      </c>
      <c r="H34">
        <f t="shared" si="4"/>
        <v>3.0217499999999986</v>
      </c>
      <c r="I34">
        <f t="shared" si="19"/>
        <v>4.6340999999999983</v>
      </c>
      <c r="J34">
        <f t="shared" si="5"/>
        <v>4.8667499999999979</v>
      </c>
      <c r="U34">
        <v>1.5</v>
      </c>
      <c r="W34">
        <v>0.1</v>
      </c>
      <c r="Y34">
        <v>0.42</v>
      </c>
      <c r="Z34">
        <f t="shared" si="23"/>
        <v>0.30027624493185801</v>
      </c>
      <c r="AA34">
        <v>5.8858011435690196</v>
      </c>
      <c r="AB34">
        <v>5.6</v>
      </c>
      <c r="AC34">
        <v>2.0082873479557399</v>
      </c>
      <c r="AD34">
        <v>40.165746959114898</v>
      </c>
      <c r="AF34">
        <v>5.5</v>
      </c>
    </row>
    <row r="35" spans="1:32">
      <c r="A35">
        <v>1802</v>
      </c>
      <c r="B35">
        <f t="shared" ref="B35:B59" si="24">J35+N35+S35+U35+W35+Y35+AB35+AE35+AG35+AJ35+AK35+AN35+AQ35+AT35+AW35</f>
        <v>12.488724999999999</v>
      </c>
      <c r="C35">
        <f t="shared" ref="C35:C59" si="25">H35+M35+R35+Z35+AC35+AH35+AL35+AO35+AR35+AU35</f>
        <v>5.0617167725319803</v>
      </c>
      <c r="D35">
        <f t="shared" si="15"/>
        <v>107.96912550781803</v>
      </c>
      <c r="F35">
        <f t="shared" si="22"/>
        <v>60.134999999999977</v>
      </c>
      <c r="G35">
        <v>1.93</v>
      </c>
      <c r="H35">
        <f t="shared" si="4"/>
        <v>2.9387249999999989</v>
      </c>
      <c r="I35">
        <f t="shared" si="19"/>
        <v>4.6360749999999991</v>
      </c>
      <c r="J35">
        <f t="shared" si="5"/>
        <v>4.8687249999999986</v>
      </c>
      <c r="U35">
        <v>1.5</v>
      </c>
      <c r="W35">
        <v>0.1</v>
      </c>
      <c r="Y35">
        <v>0.42</v>
      </c>
      <c r="Z35">
        <f t="shared" si="23"/>
        <v>0.29429005717845097</v>
      </c>
      <c r="AA35">
        <v>5.7600912007474703</v>
      </c>
      <c r="AB35">
        <v>5.6</v>
      </c>
      <c r="AC35">
        <v>1.8287017153535301</v>
      </c>
      <c r="AD35">
        <v>36.574034307070598</v>
      </c>
      <c r="AF35">
        <v>5.5</v>
      </c>
    </row>
    <row r="36" spans="1:32">
      <c r="A36">
        <v>1803</v>
      </c>
      <c r="B36">
        <f t="shared" si="24"/>
        <v>10.986874999999998</v>
      </c>
      <c r="C36">
        <f t="shared" si="25"/>
        <v>4.7800163611585829</v>
      </c>
      <c r="D36">
        <f t="shared" si="15"/>
        <v>102.13583178320891</v>
      </c>
      <c r="F36">
        <f t="shared" si="22"/>
        <v>58.204999999999977</v>
      </c>
      <c r="G36">
        <v>2.0150000000000001</v>
      </c>
      <c r="H36">
        <f t="shared" ref="H36:H57" si="26">0.045*F36+0.23265</f>
        <v>2.8518749999999988</v>
      </c>
      <c r="I36">
        <f t="shared" si="19"/>
        <v>4.6342249999999989</v>
      </c>
      <c r="J36">
        <f t="shared" ref="J36:J57" si="27">I36+0.01034*22.5</f>
        <v>4.8668749999999985</v>
      </c>
      <c r="U36">
        <v>0</v>
      </c>
      <c r="W36">
        <v>0.1</v>
      </c>
      <c r="Y36">
        <v>0.42</v>
      </c>
      <c r="Z36">
        <f t="shared" si="23"/>
        <v>0.28800456003737351</v>
      </c>
      <c r="AA36">
        <v>5.6280957607848396</v>
      </c>
      <c r="AB36">
        <v>5.6</v>
      </c>
      <c r="AC36">
        <v>1.6401368011212101</v>
      </c>
      <c r="AD36">
        <v>32.802736022424099</v>
      </c>
      <c r="AF36">
        <v>5.5</v>
      </c>
    </row>
    <row r="37" spans="1:32">
      <c r="A37">
        <v>1804</v>
      </c>
      <c r="B37">
        <f t="shared" si="24"/>
        <v>10.988699999999998</v>
      </c>
      <c r="C37">
        <f t="shared" si="25"/>
        <v>4.484748429216511</v>
      </c>
      <c r="D37">
        <f t="shared" si="15"/>
        <v>96.022373372369373</v>
      </c>
      <c r="F37">
        <f t="shared" si="22"/>
        <v>56.189999999999976</v>
      </c>
      <c r="G37">
        <v>2.1074999999999999</v>
      </c>
      <c r="H37">
        <f t="shared" si="26"/>
        <v>2.7611999999999988</v>
      </c>
      <c r="I37">
        <f t="shared" si="19"/>
        <v>4.6360499999999991</v>
      </c>
      <c r="J37">
        <f t="shared" si="27"/>
        <v>4.8686999999999987</v>
      </c>
      <c r="W37">
        <v>0.1</v>
      </c>
      <c r="Y37">
        <v>0.42</v>
      </c>
      <c r="Z37">
        <f t="shared" si="23"/>
        <v>0.28140478803924202</v>
      </c>
      <c r="AA37">
        <v>5.4895005488240898</v>
      </c>
      <c r="AB37">
        <v>5.6</v>
      </c>
      <c r="AC37">
        <v>1.4421436411772699</v>
      </c>
      <c r="AD37">
        <v>28.842872823545299</v>
      </c>
      <c r="AF37">
        <v>5.5</v>
      </c>
    </row>
    <row r="38" spans="1:32">
      <c r="A38">
        <v>1805</v>
      </c>
      <c r="B38">
        <f t="shared" si="24"/>
        <v>10.988862499999998</v>
      </c>
      <c r="C38">
        <f t="shared" si="25"/>
        <v>4.1750883506773331</v>
      </c>
      <c r="D38">
        <f t="shared" si="15"/>
        <v>89.611492040987855</v>
      </c>
      <c r="F38">
        <f t="shared" si="22"/>
        <v>54.082499999999975</v>
      </c>
      <c r="G38">
        <v>2.2025000000000001</v>
      </c>
      <c r="H38">
        <f t="shared" si="26"/>
        <v>2.6663624999999986</v>
      </c>
      <c r="I38">
        <f t="shared" si="19"/>
        <v>4.6362124999999992</v>
      </c>
      <c r="J38">
        <f t="shared" si="27"/>
        <v>4.8688624999999988</v>
      </c>
      <c r="W38">
        <v>0.1</v>
      </c>
      <c r="Y38">
        <v>0.42</v>
      </c>
      <c r="Z38">
        <f t="shared" si="23"/>
        <v>0.2744750274412045</v>
      </c>
      <c r="AA38">
        <v>5.3439755762652901</v>
      </c>
      <c r="AB38">
        <v>5.6</v>
      </c>
      <c r="AC38">
        <v>1.23425082323613</v>
      </c>
      <c r="AD38">
        <v>24.685016464722601</v>
      </c>
      <c r="AF38">
        <v>5.5</v>
      </c>
    </row>
    <row r="39" spans="1:32">
      <c r="A39">
        <v>1806</v>
      </c>
      <c r="B39">
        <f t="shared" si="24"/>
        <v>10.887249999999998</v>
      </c>
      <c r="C39">
        <f t="shared" si="25"/>
        <v>3.8504121432112033</v>
      </c>
      <c r="D39">
        <f t="shared" si="15"/>
        <v>82.890441643037235</v>
      </c>
      <c r="F39">
        <f t="shared" si="22"/>
        <v>51.879999999999974</v>
      </c>
      <c r="G39">
        <v>2.2999999999999998</v>
      </c>
      <c r="H39">
        <f t="shared" si="26"/>
        <v>2.5672499999999987</v>
      </c>
      <c r="I39">
        <f t="shared" si="19"/>
        <v>4.6345999999999989</v>
      </c>
      <c r="J39">
        <f t="shared" si="27"/>
        <v>4.8672499999999985</v>
      </c>
      <c r="W39">
        <v>0</v>
      </c>
      <c r="Y39">
        <v>0.42</v>
      </c>
      <c r="Z39">
        <f t="shared" si="23"/>
        <v>0.26719877881326454</v>
      </c>
      <c r="AA39">
        <v>5.1911743550785596</v>
      </c>
      <c r="AB39">
        <v>5.6</v>
      </c>
      <c r="AC39">
        <v>1.01596336439794</v>
      </c>
      <c r="AD39">
        <v>20.319267287958699</v>
      </c>
      <c r="AF39">
        <v>5.5</v>
      </c>
    </row>
    <row r="40" spans="1:32">
      <c r="A40">
        <v>1807</v>
      </c>
      <c r="B40">
        <f t="shared" si="24"/>
        <v>10.888749999999998</v>
      </c>
      <c r="C40">
        <f t="shared" si="25"/>
        <v>3.5100702503717596</v>
      </c>
      <c r="D40">
        <f t="shared" si="15"/>
        <v>75.845963725189165</v>
      </c>
      <c r="F40">
        <f t="shared" si="22"/>
        <v>49.579999999999977</v>
      </c>
      <c r="G40">
        <v>2.4049999999999998</v>
      </c>
      <c r="H40">
        <f t="shared" si="26"/>
        <v>2.4637499999999988</v>
      </c>
      <c r="I40">
        <f t="shared" si="19"/>
        <v>4.636099999999999</v>
      </c>
      <c r="J40">
        <f t="shared" si="27"/>
        <v>4.8687499999999986</v>
      </c>
      <c r="Y40">
        <v>0.42</v>
      </c>
      <c r="Z40">
        <f t="shared" si="23"/>
        <v>0.25955871775392797</v>
      </c>
      <c r="AA40">
        <v>5.0307330728324802</v>
      </c>
      <c r="AB40">
        <v>5.6</v>
      </c>
      <c r="AC40">
        <v>0.78676153261783299</v>
      </c>
      <c r="AD40">
        <v>15.7352306523567</v>
      </c>
      <c r="AF40">
        <v>5.5</v>
      </c>
    </row>
    <row r="41" spans="1:32">
      <c r="A41">
        <v>1808</v>
      </c>
      <c r="B41">
        <f t="shared" si="24"/>
        <v>16.388024999999999</v>
      </c>
      <c r="C41">
        <f t="shared" si="25"/>
        <v>3.153161262890348</v>
      </c>
      <c r="D41">
        <f t="shared" ref="D41:D59" si="28">F41+K41+P41+V41+AV41+AA41+AD41+AF41+AI41+AM41+AP41+AX41</f>
        <v>68.459261911448579</v>
      </c>
      <c r="F41">
        <f t="shared" si="22"/>
        <v>47.174999999999976</v>
      </c>
      <c r="G41">
        <v>2.5125000000000002</v>
      </c>
      <c r="H41">
        <f t="shared" si="26"/>
        <v>2.3555249999999988</v>
      </c>
      <c r="I41">
        <f t="shared" si="19"/>
        <v>4.6353749999999989</v>
      </c>
      <c r="J41">
        <f t="shared" si="27"/>
        <v>4.8680249999999985</v>
      </c>
      <c r="Y41">
        <v>0.42</v>
      </c>
      <c r="Z41">
        <f t="shared" si="23"/>
        <v>0.25153665364162403</v>
      </c>
      <c r="AA41">
        <v>4.8622697264741097</v>
      </c>
      <c r="AB41">
        <v>5.6</v>
      </c>
      <c r="AC41">
        <v>0.54609960924872503</v>
      </c>
      <c r="AD41">
        <v>10.921992184974499</v>
      </c>
      <c r="AE41">
        <v>5.5</v>
      </c>
      <c r="AF41">
        <v>5.5</v>
      </c>
    </row>
    <row r="42" spans="1:32">
      <c r="A42">
        <v>1809</v>
      </c>
      <c r="B42">
        <f t="shared" si="24"/>
        <v>10.888026499999999</v>
      </c>
      <c r="C42">
        <f t="shared" si="25"/>
        <v>2.7789805760348654</v>
      </c>
      <c r="D42">
        <f t="shared" si="28"/>
        <v>55.215975007021015</v>
      </c>
      <c r="F42">
        <f t="shared" si="22"/>
        <v>44.662499999999973</v>
      </c>
      <c r="G42">
        <f t="shared" ref="G42:G53" si="29">I42-F42*0.045</f>
        <v>2.6255640000000007</v>
      </c>
      <c r="H42">
        <f t="shared" si="26"/>
        <v>2.2424624999999989</v>
      </c>
      <c r="I42">
        <v>4.6353764999999996</v>
      </c>
      <c r="J42">
        <f t="shared" si="27"/>
        <v>4.8680264999999991</v>
      </c>
      <c r="Y42">
        <v>0.42</v>
      </c>
      <c r="Z42">
        <f t="shared" si="23"/>
        <v>0.2431134863237055</v>
      </c>
      <c r="AA42">
        <v>4.6853832127978103</v>
      </c>
      <c r="AB42">
        <v>5.6</v>
      </c>
      <c r="AC42">
        <v>0.29340458971116101</v>
      </c>
      <c r="AD42">
        <v>5.86809179422323</v>
      </c>
      <c r="AF42">
        <v>0</v>
      </c>
    </row>
    <row r="43" spans="1:32">
      <c r="A43">
        <v>1810</v>
      </c>
      <c r="B43">
        <f t="shared" si="24"/>
        <v>5.8775977031311069</v>
      </c>
      <c r="C43">
        <f t="shared" si="25"/>
        <v>2.3866560998366086</v>
      </c>
      <c r="D43">
        <f t="shared" si="28"/>
        <v>47.098084757372057</v>
      </c>
      <c r="F43">
        <f t="shared" si="22"/>
        <v>42.036935999999969</v>
      </c>
      <c r="G43">
        <f t="shared" si="29"/>
        <v>2.743714380000001</v>
      </c>
      <c r="H43">
        <f t="shared" si="26"/>
        <v>2.1243121199999986</v>
      </c>
      <c r="I43">
        <v>4.6353764999999996</v>
      </c>
      <c r="J43">
        <f t="shared" si="27"/>
        <v>4.8680264999999991</v>
      </c>
      <c r="Y43">
        <v>0.42</v>
      </c>
      <c r="Z43">
        <f t="shared" si="23"/>
        <v>0.23426916063989053</v>
      </c>
      <c r="AA43">
        <v>4.4996523734376996</v>
      </c>
      <c r="AB43">
        <v>0.589571203131108</v>
      </c>
      <c r="AC43">
        <v>2.8074819196719399E-2</v>
      </c>
      <c r="AD43">
        <v>0.56149638393438805</v>
      </c>
    </row>
    <row r="44" spans="1:32">
      <c r="A44">
        <v>1811</v>
      </c>
      <c r="B44">
        <f t="shared" si="24"/>
        <v>5.2880264999999991</v>
      </c>
      <c r="C44">
        <f t="shared" si="25"/>
        <v>2.2258275915718837</v>
      </c>
      <c r="D44">
        <f t="shared" si="28"/>
        <v>43.59785661210956</v>
      </c>
      <c r="F44">
        <f t="shared" si="22"/>
        <v>39.293221619999969</v>
      </c>
      <c r="G44">
        <f t="shared" si="29"/>
        <v>2.867181527100001</v>
      </c>
      <c r="H44">
        <f t="shared" si="26"/>
        <v>2.0008449728999986</v>
      </c>
      <c r="I44">
        <v>4.6353764999999996</v>
      </c>
      <c r="J44">
        <f t="shared" si="27"/>
        <v>4.8680264999999991</v>
      </c>
      <c r="Y44">
        <v>0.42</v>
      </c>
      <c r="Z44">
        <f t="shared" si="23"/>
        <v>0.22498261867188499</v>
      </c>
      <c r="AA44">
        <v>4.3046349921095901</v>
      </c>
      <c r="AD44">
        <v>0</v>
      </c>
    </row>
    <row r="45" spans="1:32">
      <c r="A45">
        <v>1812</v>
      </c>
      <c r="B45">
        <f t="shared" si="24"/>
        <v>5.2880264999999991</v>
      </c>
      <c r="C45">
        <f t="shared" si="25"/>
        <v>2.087053553785978</v>
      </c>
      <c r="D45">
        <f t="shared" si="28"/>
        <v>40.525906834615036</v>
      </c>
      <c r="F45">
        <f t="shared" si="22"/>
        <v>36.426040092899967</v>
      </c>
      <c r="G45">
        <f t="shared" si="29"/>
        <v>2.9962046958195012</v>
      </c>
      <c r="H45">
        <f t="shared" si="26"/>
        <v>1.8718218041804986</v>
      </c>
      <c r="I45">
        <v>4.6353764999999996</v>
      </c>
      <c r="J45">
        <f t="shared" si="27"/>
        <v>4.8680264999999991</v>
      </c>
      <c r="Y45">
        <v>0.42</v>
      </c>
      <c r="Z45">
        <f t="shared" si="23"/>
        <v>0.21523174960547953</v>
      </c>
      <c r="AA45">
        <v>4.0998667417150703</v>
      </c>
    </row>
    <row r="46" spans="1:32">
      <c r="A46">
        <v>1813</v>
      </c>
      <c r="B46">
        <f t="shared" si="24"/>
        <v>5.2880264999999991</v>
      </c>
      <c r="C46">
        <f t="shared" si="25"/>
        <v>1.9419859299543745</v>
      </c>
      <c r="D46">
        <f t="shared" si="28"/>
        <v>37.314695475881287</v>
      </c>
      <c r="F46">
        <f t="shared" si="22"/>
        <v>33.429835397080467</v>
      </c>
      <c r="G46">
        <f t="shared" si="29"/>
        <v>3.1310339071313784</v>
      </c>
      <c r="H46">
        <f t="shared" si="26"/>
        <v>1.736992592868621</v>
      </c>
      <c r="I46">
        <v>4.6353764999999996</v>
      </c>
      <c r="J46">
        <f t="shared" si="27"/>
        <v>4.8680264999999991</v>
      </c>
      <c r="Y46">
        <v>0.42</v>
      </c>
      <c r="Z46">
        <f t="shared" si="23"/>
        <v>0.20499333708575351</v>
      </c>
      <c r="AA46">
        <v>3.8848600788008198</v>
      </c>
    </row>
    <row r="47" spans="1:32">
      <c r="A47">
        <v>1814</v>
      </c>
      <c r="B47">
        <f t="shared" si="24"/>
        <v>5.2880264999999991</v>
      </c>
      <c r="C47">
        <f t="shared" si="25"/>
        <v>1.7903390709877498</v>
      </c>
      <c r="D47">
        <f t="shared" si="28"/>
        <v>33.957904572689948</v>
      </c>
      <c r="F47">
        <f t="shared" si="22"/>
        <v>30.298801489949089</v>
      </c>
      <c r="G47">
        <f t="shared" si="29"/>
        <v>3.2719304329522907</v>
      </c>
      <c r="H47">
        <f t="shared" si="26"/>
        <v>1.5960960670477089</v>
      </c>
      <c r="I47">
        <v>4.6353764999999996</v>
      </c>
      <c r="J47">
        <f t="shared" si="27"/>
        <v>4.8680264999999991</v>
      </c>
      <c r="Y47">
        <v>0.42</v>
      </c>
      <c r="Z47">
        <f t="shared" si="23"/>
        <v>0.19424300394004101</v>
      </c>
      <c r="AA47">
        <v>3.6591030827408599</v>
      </c>
    </row>
    <row r="48" spans="1:32">
      <c r="A48">
        <v>1815</v>
      </c>
      <c r="B48">
        <f t="shared" si="24"/>
        <v>5.2880264999999991</v>
      </c>
      <c r="C48">
        <f t="shared" si="25"/>
        <v>1.631814351701899</v>
      </c>
      <c r="D48">
        <f t="shared" si="28"/>
        <v>30.448929293874706</v>
      </c>
      <c r="F48">
        <f t="shared" si="22"/>
        <v>27.026871056996796</v>
      </c>
      <c r="G48">
        <f t="shared" si="29"/>
        <v>3.4191673024351434</v>
      </c>
      <c r="H48">
        <f t="shared" si="26"/>
        <v>1.4488591975648559</v>
      </c>
      <c r="I48">
        <v>4.6353764999999996</v>
      </c>
      <c r="J48">
        <f t="shared" si="27"/>
        <v>4.8680264999999991</v>
      </c>
      <c r="Y48">
        <v>0.42</v>
      </c>
      <c r="Z48">
        <f t="shared" si="23"/>
        <v>0.182955154137043</v>
      </c>
      <c r="AA48">
        <v>3.42205823687791</v>
      </c>
    </row>
    <row r="49" spans="1:27">
      <c r="A49">
        <v>1816</v>
      </c>
      <c r="B49">
        <f t="shared" si="24"/>
        <v>5.2880264999999991</v>
      </c>
      <c r="C49">
        <f t="shared" si="25"/>
        <v>1.4660995807991701</v>
      </c>
      <c r="D49">
        <f t="shared" si="28"/>
        <v>26.780864903283454</v>
      </c>
      <c r="F49">
        <f t="shared" si="22"/>
        <v>23.607703754561655</v>
      </c>
      <c r="G49">
        <f t="shared" si="29"/>
        <v>3.573029831044725</v>
      </c>
      <c r="H49">
        <f t="shared" si="26"/>
        <v>1.2949966689552745</v>
      </c>
      <c r="I49">
        <v>4.6353764999999996</v>
      </c>
      <c r="J49">
        <f t="shared" si="27"/>
        <v>4.8680264999999991</v>
      </c>
      <c r="Y49">
        <v>0.42</v>
      </c>
      <c r="Z49">
        <f t="shared" si="23"/>
        <v>0.17110291184389551</v>
      </c>
      <c r="AA49">
        <v>3.1731611487218001</v>
      </c>
    </row>
    <row r="50" spans="1:27">
      <c r="A50">
        <v>1817</v>
      </c>
      <c r="B50">
        <f t="shared" si="24"/>
        <v>5.2880264999999991</v>
      </c>
      <c r="C50">
        <f t="shared" si="25"/>
        <v>1.2928683839943518</v>
      </c>
      <c r="D50">
        <f t="shared" si="28"/>
        <v>22.94649312967482</v>
      </c>
      <c r="F50">
        <f t="shared" si="22"/>
        <v>20.03467392351693</v>
      </c>
      <c r="G50">
        <f t="shared" si="29"/>
        <v>3.7338161734417379</v>
      </c>
      <c r="H50">
        <f t="shared" si="26"/>
        <v>1.1342103265582617</v>
      </c>
      <c r="I50">
        <v>4.6353764999999996</v>
      </c>
      <c r="J50">
        <f t="shared" si="27"/>
        <v>4.8680264999999991</v>
      </c>
      <c r="Y50">
        <v>0.42</v>
      </c>
      <c r="Z50">
        <f t="shared" si="23"/>
        <v>0.15865805743609002</v>
      </c>
      <c r="AA50">
        <v>2.9118192061578898</v>
      </c>
    </row>
    <row r="51" spans="1:27">
      <c r="A51">
        <v>1818</v>
      </c>
      <c r="B51">
        <f t="shared" si="24"/>
        <v>5.2880264999999991</v>
      </c>
      <c r="C51">
        <f t="shared" si="25"/>
        <v>1.111779559061278</v>
      </c>
      <c r="D51">
        <f t="shared" si="28"/>
        <v>18.938267916540983</v>
      </c>
      <c r="F51">
        <f t="shared" si="22"/>
        <v>16.300857750075192</v>
      </c>
      <c r="G51">
        <f t="shared" si="29"/>
        <v>3.901837901246616</v>
      </c>
      <c r="H51">
        <f t="shared" si="26"/>
        <v>0.96618859875338359</v>
      </c>
      <c r="I51">
        <v>4.6353764999999996</v>
      </c>
      <c r="J51">
        <f t="shared" si="27"/>
        <v>4.8680264999999991</v>
      </c>
      <c r="Y51">
        <v>0.42</v>
      </c>
      <c r="Z51">
        <f t="shared" si="23"/>
        <v>0.14559096030789451</v>
      </c>
      <c r="AA51">
        <v>2.6374101664657901</v>
      </c>
    </row>
    <row r="52" spans="1:27">
      <c r="A52">
        <v>1819</v>
      </c>
      <c r="B52">
        <f t="shared" si="24"/>
        <v>5.2880264999999991</v>
      </c>
      <c r="C52">
        <f t="shared" si="25"/>
        <v>0.92247640152057542</v>
      </c>
      <c r="D52">
        <f t="shared" si="28"/>
        <v>14.748300523617647</v>
      </c>
      <c r="F52">
        <f t="shared" si="22"/>
        <v>12.399019848828576</v>
      </c>
      <c r="G52">
        <f t="shared" si="29"/>
        <v>4.0774206068027139</v>
      </c>
      <c r="H52">
        <f t="shared" si="26"/>
        <v>0.79060589319728591</v>
      </c>
      <c r="I52">
        <v>4.6353764999999996</v>
      </c>
      <c r="J52">
        <f t="shared" si="27"/>
        <v>4.8680264999999991</v>
      </c>
      <c r="Y52">
        <v>0.42</v>
      </c>
      <c r="Z52">
        <f t="shared" si="23"/>
        <v>0.1318705083232895</v>
      </c>
      <c r="AA52">
        <v>2.3492806747890702</v>
      </c>
    </row>
    <row r="53" spans="1:27">
      <c r="A53">
        <v>1820</v>
      </c>
      <c r="B53">
        <f t="shared" si="24"/>
        <v>5.2880264999999991</v>
      </c>
      <c r="C53">
        <f t="shared" si="25"/>
        <v>0.72458599963061721</v>
      </c>
      <c r="D53">
        <f t="shared" si="28"/>
        <v>10.368343950554392</v>
      </c>
      <c r="F53">
        <f t="shared" si="22"/>
        <v>8.3215992420258615</v>
      </c>
      <c r="G53">
        <f t="shared" si="29"/>
        <v>4.2609045341088354</v>
      </c>
      <c r="H53">
        <f t="shared" si="26"/>
        <v>0.60712196589116374</v>
      </c>
      <c r="I53">
        <v>4.6353764999999996</v>
      </c>
      <c r="J53">
        <f t="shared" si="27"/>
        <v>4.8680264999999991</v>
      </c>
      <c r="Y53">
        <v>0.42</v>
      </c>
      <c r="Z53">
        <f t="shared" si="23"/>
        <v>0.11746403373945352</v>
      </c>
      <c r="AA53">
        <v>2.04674470852853</v>
      </c>
    </row>
    <row r="54" spans="1:27">
      <c r="A54">
        <v>1821</v>
      </c>
      <c r="B54">
        <f t="shared" si="24"/>
        <v>4.8960759697732916</v>
      </c>
      <c r="C54">
        <f t="shared" si="25"/>
        <v>0.5177184972826927</v>
      </c>
      <c r="D54">
        <f t="shared" si="28"/>
        <v>5.7897766518719767</v>
      </c>
      <c r="F54">
        <f t="shared" si="22"/>
        <v>4.0606947079170261</v>
      </c>
      <c r="G54">
        <f>F54</f>
        <v>4.0606947079170261</v>
      </c>
      <c r="H54">
        <f t="shared" si="26"/>
        <v>0.41538126185626617</v>
      </c>
      <c r="I54">
        <f>G54*1.045</f>
        <v>4.2434259697732921</v>
      </c>
      <c r="J54">
        <f t="shared" si="27"/>
        <v>4.4760759697732917</v>
      </c>
      <c r="Y54">
        <v>0.42</v>
      </c>
      <c r="Z54">
        <f t="shared" si="23"/>
        <v>0.1023372354264265</v>
      </c>
      <c r="AA54">
        <v>1.7290819439549501</v>
      </c>
    </row>
    <row r="55" spans="1:27">
      <c r="A55">
        <v>1822</v>
      </c>
      <c r="B55">
        <f t="shared" si="24"/>
        <v>0.65264999999999995</v>
      </c>
      <c r="C55">
        <f t="shared" si="25"/>
        <v>0.31910409719774752</v>
      </c>
      <c r="D55">
        <f t="shared" si="28"/>
        <v>1.3955360411527</v>
      </c>
      <c r="H55">
        <f t="shared" si="26"/>
        <v>0.23265</v>
      </c>
      <c r="J55">
        <f t="shared" si="27"/>
        <v>0.23265</v>
      </c>
      <c r="Y55">
        <v>0.42</v>
      </c>
      <c r="Z55">
        <f t="shared" si="23"/>
        <v>8.6454097197747506E-2</v>
      </c>
      <c r="AA55">
        <v>1.3955360411527</v>
      </c>
    </row>
    <row r="56" spans="1:27">
      <c r="A56">
        <v>1823</v>
      </c>
      <c r="B56">
        <f t="shared" si="24"/>
        <v>0.65264999999999995</v>
      </c>
      <c r="C56">
        <f t="shared" si="25"/>
        <v>0.302426802057635</v>
      </c>
      <c r="D56">
        <f t="shared" si="28"/>
        <v>1.04531284321034</v>
      </c>
      <c r="H56">
        <f t="shared" si="26"/>
        <v>0.23265</v>
      </c>
      <c r="J56">
        <f t="shared" si="27"/>
        <v>0.23265</v>
      </c>
      <c r="Y56">
        <v>0.42</v>
      </c>
      <c r="Z56">
        <f t="shared" si="23"/>
        <v>6.9776802057635007E-2</v>
      </c>
      <c r="AA56">
        <v>1.04531284321034</v>
      </c>
    </row>
    <row r="57" spans="1:27">
      <c r="A57">
        <v>1824</v>
      </c>
      <c r="B57">
        <f t="shared" si="24"/>
        <v>0.65264999999999995</v>
      </c>
      <c r="C57">
        <f t="shared" si="25"/>
        <v>0.28491564216051701</v>
      </c>
      <c r="D57">
        <f t="shared" si="28"/>
        <v>0.67757848537085397</v>
      </c>
      <c r="H57">
        <f t="shared" si="26"/>
        <v>0.23265</v>
      </c>
      <c r="J57">
        <f t="shared" si="27"/>
        <v>0.23265</v>
      </c>
      <c r="Y57">
        <v>0.42</v>
      </c>
      <c r="Z57">
        <f t="shared" si="23"/>
        <v>5.2265642160517004E-2</v>
      </c>
      <c r="AA57">
        <v>0.67757848537085397</v>
      </c>
    </row>
    <row r="58" spans="1:27">
      <c r="A58">
        <f>A57+1</f>
        <v>1825</v>
      </c>
      <c r="B58">
        <f t="shared" si="24"/>
        <v>0.71145740963939674</v>
      </c>
      <c r="C58">
        <f t="shared" si="25"/>
        <v>3.38789242685427E-2</v>
      </c>
      <c r="D58">
        <f t="shared" si="28"/>
        <v>0.29145740963939698</v>
      </c>
      <c r="Y58">
        <f>AA57*1.05</f>
        <v>0.71145740963939674</v>
      </c>
      <c r="Z58">
        <f t="shared" si="23"/>
        <v>3.38789242685427E-2</v>
      </c>
      <c r="AA58">
        <v>0.29145740963939698</v>
      </c>
    </row>
    <row r="59" spans="1:27">
      <c r="A59">
        <f>A58+1</f>
        <v>1826</v>
      </c>
      <c r="B59">
        <f t="shared" si="24"/>
        <v>0</v>
      </c>
      <c r="C59">
        <f t="shared" si="25"/>
        <v>0</v>
      </c>
      <c r="D59">
        <f t="shared" si="28"/>
        <v>0</v>
      </c>
      <c r="AA59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8"/>
  <sheetViews>
    <sheetView workbookViewId="0"/>
  </sheetViews>
  <sheetFormatPr defaultRowHeight="12.75"/>
  <sheetData>
    <row r="1" spans="1:14">
      <c r="B1" t="s">
        <v>116</v>
      </c>
      <c r="C1" t="s">
        <v>115</v>
      </c>
      <c r="D1" t="s">
        <v>68</v>
      </c>
      <c r="E1" t="s">
        <v>114</v>
      </c>
      <c r="F1" t="s">
        <v>113</v>
      </c>
      <c r="G1" t="s">
        <v>112</v>
      </c>
      <c r="H1" t="s">
        <v>111</v>
      </c>
      <c r="I1" t="s">
        <v>78</v>
      </c>
      <c r="J1" t="s">
        <v>37</v>
      </c>
      <c r="K1" t="s">
        <v>109</v>
      </c>
      <c r="L1" t="s">
        <v>110</v>
      </c>
      <c r="M1" t="s">
        <v>109</v>
      </c>
    </row>
    <row r="2" spans="1:14">
      <c r="D2" s="3">
        <v>0.05</v>
      </c>
    </row>
    <row r="3" spans="1:14">
      <c r="D3" s="3">
        <v>6.5000000000000002E-2</v>
      </c>
    </row>
    <row r="4" spans="1:14">
      <c r="A4">
        <v>1774</v>
      </c>
      <c r="B4">
        <v>375</v>
      </c>
      <c r="C4">
        <v>260</v>
      </c>
      <c r="D4" s="2">
        <f>0.05*J4</f>
        <v>115</v>
      </c>
      <c r="E4" s="2">
        <f t="shared" ref="E4:E35" si="0">0.02*J4</f>
        <v>46</v>
      </c>
      <c r="F4" s="2">
        <f t="shared" ref="F4:F35" si="1">C4+D4+E4</f>
        <v>421</v>
      </c>
      <c r="G4">
        <f t="shared" ref="G4:G35" si="2">C4+D4</f>
        <v>375</v>
      </c>
      <c r="H4" s="2">
        <f t="shared" ref="H4:H35" si="3">B4-C4-D4-E4</f>
        <v>-46</v>
      </c>
      <c r="I4" s="2">
        <f t="shared" ref="I4:I35" si="4">-H4</f>
        <v>46</v>
      </c>
      <c r="J4" s="2">
        <v>2300</v>
      </c>
      <c r="K4">
        <v>2278.0807927968299</v>
      </c>
      <c r="L4" s="3">
        <f t="shared" ref="L4:L35" si="5">D4/J4</f>
        <v>0.05</v>
      </c>
      <c r="M4" s="3">
        <v>4.9716025072811601E-2</v>
      </c>
      <c r="N4">
        <v>375</v>
      </c>
    </row>
    <row r="5" spans="1:14">
      <c r="A5">
        <v>1775</v>
      </c>
      <c r="B5">
        <v>375</v>
      </c>
      <c r="C5">
        <f>C4</f>
        <v>260</v>
      </c>
      <c r="D5" s="2">
        <f>0.05*J5</f>
        <v>115</v>
      </c>
      <c r="E5" s="2">
        <f t="shared" si="0"/>
        <v>46</v>
      </c>
      <c r="F5" s="2">
        <f t="shared" si="1"/>
        <v>421</v>
      </c>
      <c r="G5">
        <f t="shared" si="2"/>
        <v>375</v>
      </c>
      <c r="H5" s="2">
        <f t="shared" si="3"/>
        <v>-46</v>
      </c>
      <c r="I5" s="2">
        <f t="shared" si="4"/>
        <v>46</v>
      </c>
      <c r="J5" s="2">
        <f t="shared" ref="J5:J36" si="6">J4+I4-E4</f>
        <v>2300</v>
      </c>
      <c r="K5">
        <v>2280.7595093740001</v>
      </c>
      <c r="L5" s="3">
        <f t="shared" si="5"/>
        <v>0.05</v>
      </c>
      <c r="M5" s="3">
        <v>4.9997418774684499E-2</v>
      </c>
      <c r="N5">
        <v>375</v>
      </c>
    </row>
    <row r="6" spans="1:14">
      <c r="A6">
        <v>1776</v>
      </c>
      <c r="B6">
        <v>375</v>
      </c>
      <c r="C6">
        <f>C5</f>
        <v>260</v>
      </c>
      <c r="D6" s="2">
        <f>0.05*J6</f>
        <v>115</v>
      </c>
      <c r="E6" s="2">
        <f t="shared" si="0"/>
        <v>46</v>
      </c>
      <c r="F6" s="2">
        <f t="shared" si="1"/>
        <v>421</v>
      </c>
      <c r="G6">
        <f t="shared" si="2"/>
        <v>375</v>
      </c>
      <c r="H6" s="2">
        <f t="shared" si="3"/>
        <v>-46</v>
      </c>
      <c r="I6" s="2">
        <f t="shared" si="4"/>
        <v>46</v>
      </c>
      <c r="J6" s="2">
        <f t="shared" si="6"/>
        <v>2300</v>
      </c>
      <c r="K6">
        <v>2238.70570284008</v>
      </c>
      <c r="L6" s="3">
        <f t="shared" si="5"/>
        <v>0.05</v>
      </c>
      <c r="M6" s="3">
        <v>4.9909671718246999E-2</v>
      </c>
      <c r="N6">
        <v>375</v>
      </c>
    </row>
    <row r="7" spans="1:14">
      <c r="A7">
        <v>1777</v>
      </c>
      <c r="B7">
        <v>375</v>
      </c>
      <c r="C7">
        <f>C6</f>
        <v>260</v>
      </c>
      <c r="D7" s="2">
        <f>0.05*J7</f>
        <v>115</v>
      </c>
      <c r="E7" s="2">
        <f t="shared" si="0"/>
        <v>46</v>
      </c>
      <c r="F7" s="2">
        <f t="shared" si="1"/>
        <v>421</v>
      </c>
      <c r="G7">
        <f t="shared" si="2"/>
        <v>375</v>
      </c>
      <c r="H7" s="2">
        <f t="shared" si="3"/>
        <v>-46</v>
      </c>
      <c r="I7" s="2">
        <f t="shared" si="4"/>
        <v>46</v>
      </c>
      <c r="J7" s="2">
        <f t="shared" si="6"/>
        <v>2300</v>
      </c>
      <c r="K7">
        <v>2262.7600740041098</v>
      </c>
      <c r="L7" s="3">
        <f t="shared" si="5"/>
        <v>0.05</v>
      </c>
      <c r="M7" s="3">
        <v>4.9416272846267498E-2</v>
      </c>
      <c r="N7">
        <v>375</v>
      </c>
    </row>
    <row r="8" spans="1:14">
      <c r="A8">
        <v>1778</v>
      </c>
      <c r="B8">
        <v>375</v>
      </c>
      <c r="C8">
        <f>C7+100</f>
        <v>360</v>
      </c>
      <c r="D8" s="2">
        <f>0.05*J8</f>
        <v>115</v>
      </c>
      <c r="E8" s="2">
        <f t="shared" si="0"/>
        <v>46</v>
      </c>
      <c r="F8" s="2">
        <f t="shared" si="1"/>
        <v>521</v>
      </c>
      <c r="G8">
        <f t="shared" si="2"/>
        <v>475</v>
      </c>
      <c r="H8" s="2">
        <f t="shared" si="3"/>
        <v>-146</v>
      </c>
      <c r="I8" s="2">
        <f t="shared" si="4"/>
        <v>146</v>
      </c>
      <c r="J8" s="2">
        <f t="shared" si="6"/>
        <v>2300</v>
      </c>
      <c r="K8">
        <v>2313.98714103884</v>
      </c>
      <c r="L8" s="3">
        <f t="shared" si="5"/>
        <v>0.05</v>
      </c>
      <c r="M8" s="3">
        <v>4.84660082109424E-2</v>
      </c>
      <c r="N8">
        <v>375</v>
      </c>
    </row>
    <row r="9" spans="1:14">
      <c r="A9">
        <v>1779</v>
      </c>
      <c r="B9">
        <v>375</v>
      </c>
      <c r="C9">
        <f>C8+100</f>
        <v>460</v>
      </c>
      <c r="D9" s="2">
        <f t="shared" ref="D9:D15" si="7">0.05*$J$8+$D$3*(J9-$J$8)</f>
        <v>121.5</v>
      </c>
      <c r="E9" s="2">
        <f t="shared" si="0"/>
        <v>48</v>
      </c>
      <c r="F9" s="2">
        <f t="shared" si="1"/>
        <v>629.5</v>
      </c>
      <c r="G9">
        <f t="shared" si="2"/>
        <v>581.5</v>
      </c>
      <c r="H9" s="2">
        <f t="shared" si="3"/>
        <v>-254.5</v>
      </c>
      <c r="I9" s="2">
        <f t="shared" si="4"/>
        <v>254.5</v>
      </c>
      <c r="J9" s="2">
        <f t="shared" si="6"/>
        <v>2400</v>
      </c>
      <c r="K9">
        <v>2410.3853362865102</v>
      </c>
      <c r="L9" s="3">
        <f t="shared" si="5"/>
        <v>5.0625000000000003E-2</v>
      </c>
      <c r="M9" s="3">
        <v>4.7600288917893203E-2</v>
      </c>
      <c r="N9">
        <v>375</v>
      </c>
    </row>
    <row r="10" spans="1:14">
      <c r="A10">
        <v>1780</v>
      </c>
      <c r="B10">
        <v>412</v>
      </c>
      <c r="C10">
        <f>C9</f>
        <v>460</v>
      </c>
      <c r="D10" s="2">
        <f t="shared" si="7"/>
        <v>134.92250000000001</v>
      </c>
      <c r="E10" s="2">
        <f t="shared" si="0"/>
        <v>52.13</v>
      </c>
      <c r="F10" s="2">
        <f t="shared" si="1"/>
        <v>647.05250000000001</v>
      </c>
      <c r="G10">
        <f t="shared" si="2"/>
        <v>594.92250000000001</v>
      </c>
      <c r="H10" s="2">
        <f t="shared" si="3"/>
        <v>-235.05250000000001</v>
      </c>
      <c r="I10" s="2">
        <f t="shared" si="4"/>
        <v>235.05250000000001</v>
      </c>
      <c r="J10" s="2">
        <f t="shared" si="6"/>
        <v>2606.5</v>
      </c>
      <c r="K10">
        <v>2517.6974404552602</v>
      </c>
      <c r="L10" s="3">
        <f t="shared" si="5"/>
        <v>5.1763859581814696E-2</v>
      </c>
      <c r="M10" s="3">
        <v>4.9047872463807297E-2</v>
      </c>
      <c r="N10">
        <v>412</v>
      </c>
    </row>
    <row r="11" spans="1:14">
      <c r="A11">
        <v>1781</v>
      </c>
      <c r="B11">
        <v>425</v>
      </c>
      <c r="C11">
        <f>C10</f>
        <v>460</v>
      </c>
      <c r="D11" s="2">
        <f t="shared" si="7"/>
        <v>146.81246249999998</v>
      </c>
      <c r="E11" s="2">
        <f t="shared" si="0"/>
        <v>55.788449999999997</v>
      </c>
      <c r="F11" s="2">
        <f t="shared" si="1"/>
        <v>662.60091250000005</v>
      </c>
      <c r="G11">
        <f t="shared" si="2"/>
        <v>606.81246250000004</v>
      </c>
      <c r="H11" s="2">
        <f t="shared" si="3"/>
        <v>-237.60091249999999</v>
      </c>
      <c r="I11" s="2">
        <f t="shared" si="4"/>
        <v>237.60091249999999</v>
      </c>
      <c r="J11" s="2">
        <f t="shared" si="6"/>
        <v>2789.4224999999997</v>
      </c>
      <c r="K11">
        <v>2588.1408120316501</v>
      </c>
      <c r="L11" s="3">
        <f t="shared" si="5"/>
        <v>5.2631848527786664E-2</v>
      </c>
      <c r="M11" s="3">
        <v>4.7475449528175298E-2</v>
      </c>
      <c r="N11">
        <v>425</v>
      </c>
    </row>
    <row r="12" spans="1:14">
      <c r="A12">
        <v>1782</v>
      </c>
      <c r="B12">
        <v>450</v>
      </c>
      <c r="C12">
        <f>C11</f>
        <v>460</v>
      </c>
      <c r="D12" s="2">
        <f t="shared" si="7"/>
        <v>158.63027256249998</v>
      </c>
      <c r="E12" s="2">
        <f t="shared" si="0"/>
        <v>59.424699249999996</v>
      </c>
      <c r="F12" s="2">
        <f t="shared" si="1"/>
        <v>678.05497181249996</v>
      </c>
      <c r="G12">
        <f t="shared" si="2"/>
        <v>618.63027256249995</v>
      </c>
      <c r="H12" s="2">
        <f t="shared" si="3"/>
        <v>-228.05497181249999</v>
      </c>
      <c r="I12" s="2">
        <f t="shared" si="4"/>
        <v>228.05497181249999</v>
      </c>
      <c r="J12" s="2">
        <f t="shared" si="6"/>
        <v>2971.2349624999997</v>
      </c>
      <c r="K12">
        <v>2786.2764312569702</v>
      </c>
      <c r="L12" s="3">
        <f t="shared" si="5"/>
        <v>5.3388666518997992E-2</v>
      </c>
      <c r="M12" s="3">
        <v>4.7971016121162099E-2</v>
      </c>
      <c r="N12">
        <v>450</v>
      </c>
    </row>
    <row r="13" spans="1:14">
      <c r="A13">
        <v>1783</v>
      </c>
      <c r="B13">
        <v>475</v>
      </c>
      <c r="C13">
        <f>C12</f>
        <v>460</v>
      </c>
      <c r="D13" s="2">
        <f t="shared" si="7"/>
        <v>169.5912402790625</v>
      </c>
      <c r="E13" s="2">
        <f t="shared" si="0"/>
        <v>62.797304701249999</v>
      </c>
      <c r="F13" s="2">
        <f t="shared" si="1"/>
        <v>692.38854498031253</v>
      </c>
      <c r="G13">
        <f t="shared" si="2"/>
        <v>629.5912402790625</v>
      </c>
      <c r="H13" s="2">
        <f t="shared" si="3"/>
        <v>-217.3885449803125</v>
      </c>
      <c r="I13" s="2">
        <f t="shared" si="4"/>
        <v>217.3885449803125</v>
      </c>
      <c r="J13" s="2">
        <f t="shared" si="6"/>
        <v>3139.8652350624998</v>
      </c>
      <c r="K13">
        <v>2933.5591822306201</v>
      </c>
      <c r="L13" s="3">
        <f t="shared" si="5"/>
        <v>5.4012267273530527E-2</v>
      </c>
      <c r="M13" s="3">
        <v>5.0246803059439502E-2</v>
      </c>
      <c r="N13">
        <v>475</v>
      </c>
    </row>
    <row r="14" spans="1:14">
      <c r="A14">
        <v>1784</v>
      </c>
      <c r="B14">
        <v>500</v>
      </c>
      <c r="C14">
        <f>C13-100</f>
        <v>360</v>
      </c>
      <c r="D14" s="2">
        <f t="shared" si="7"/>
        <v>179.63967089720154</v>
      </c>
      <c r="E14" s="2">
        <f t="shared" si="0"/>
        <v>65.889129506831239</v>
      </c>
      <c r="F14" s="2">
        <f t="shared" si="1"/>
        <v>605.52880040403284</v>
      </c>
      <c r="G14">
        <f t="shared" si="2"/>
        <v>539.63967089720154</v>
      </c>
      <c r="H14" s="2">
        <f t="shared" si="3"/>
        <v>-105.52880040403278</v>
      </c>
      <c r="I14" s="2">
        <f t="shared" si="4"/>
        <v>105.52880040403278</v>
      </c>
      <c r="J14" s="2">
        <f t="shared" si="6"/>
        <v>3294.4564753415621</v>
      </c>
      <c r="K14">
        <v>3035.01836418413</v>
      </c>
      <c r="L14" s="3">
        <f t="shared" si="5"/>
        <v>5.4527862863502211E-2</v>
      </c>
      <c r="M14" s="3">
        <v>5.1210701688360803E-2</v>
      </c>
      <c r="N14">
        <v>500</v>
      </c>
    </row>
    <row r="15" spans="1:14">
      <c r="A15">
        <v>1785</v>
      </c>
      <c r="B15">
        <v>500</v>
      </c>
      <c r="C15">
        <f t="shared" ref="C15:C46" si="8">C14</f>
        <v>360</v>
      </c>
      <c r="D15" s="2">
        <f t="shared" si="7"/>
        <v>182.21624950551964</v>
      </c>
      <c r="E15" s="2">
        <f t="shared" si="0"/>
        <v>66.681922924775279</v>
      </c>
      <c r="F15" s="2">
        <f t="shared" si="1"/>
        <v>608.89817243029484</v>
      </c>
      <c r="G15">
        <f t="shared" si="2"/>
        <v>542.21624950551961</v>
      </c>
      <c r="H15" s="2">
        <f t="shared" si="3"/>
        <v>-108.89817243029492</v>
      </c>
      <c r="I15" s="2">
        <f t="shared" si="4"/>
        <v>108.89817243029492</v>
      </c>
      <c r="J15" s="2">
        <f t="shared" si="6"/>
        <v>3334.0961462387636</v>
      </c>
      <c r="K15">
        <v>3272.5360378215501</v>
      </c>
      <c r="L15" s="3">
        <f t="shared" si="5"/>
        <v>5.4652367992170867E-2</v>
      </c>
      <c r="M15" s="3">
        <v>4.9945508268167703E-2</v>
      </c>
      <c r="N15">
        <v>500</v>
      </c>
    </row>
    <row r="16" spans="1:14">
      <c r="A16">
        <v>1786</v>
      </c>
      <c r="B16">
        <v>500</v>
      </c>
      <c r="C16">
        <f t="shared" si="8"/>
        <v>360</v>
      </c>
      <c r="D16" s="2">
        <f t="shared" ref="D16:D47" si="9">0.05*$J$8+IF(J16/J15&gt;1,$D$3,$D$2)*(J16-$J$8)</f>
        <v>184.96030572337838</v>
      </c>
      <c r="E16" s="2">
        <f t="shared" si="0"/>
        <v>67.526247914885658</v>
      </c>
      <c r="F16" s="2">
        <f t="shared" si="1"/>
        <v>612.48655363826401</v>
      </c>
      <c r="G16">
        <f t="shared" si="2"/>
        <v>544.96030572337838</v>
      </c>
      <c r="H16" s="2">
        <f t="shared" si="3"/>
        <v>-112.48655363826404</v>
      </c>
      <c r="I16" s="2">
        <f t="shared" si="4"/>
        <v>112.48655363826404</v>
      </c>
      <c r="J16" s="2">
        <f t="shared" si="6"/>
        <v>3376.3123957442831</v>
      </c>
      <c r="K16">
        <v>3326.5660969319001</v>
      </c>
      <c r="L16" s="3">
        <f t="shared" si="5"/>
        <v>5.4781751225542401E-2</v>
      </c>
      <c r="M16" s="3">
        <v>5.2053998933701898E-2</v>
      </c>
      <c r="N16">
        <v>500</v>
      </c>
    </row>
    <row r="17" spans="1:14">
      <c r="A17">
        <v>1787</v>
      </c>
      <c r="B17">
        <v>475</v>
      </c>
      <c r="C17">
        <f t="shared" si="8"/>
        <v>360</v>
      </c>
      <c r="D17" s="2">
        <f t="shared" si="9"/>
        <v>187.882725595398</v>
      </c>
      <c r="E17" s="2">
        <f t="shared" si="0"/>
        <v>68.425454029353233</v>
      </c>
      <c r="F17" s="2">
        <f t="shared" si="1"/>
        <v>616.30817962475123</v>
      </c>
      <c r="G17">
        <f t="shared" si="2"/>
        <v>547.88272559539803</v>
      </c>
      <c r="H17" s="2">
        <f t="shared" si="3"/>
        <v>-141.30817962475123</v>
      </c>
      <c r="I17" s="2">
        <f t="shared" si="4"/>
        <v>141.30817962475123</v>
      </c>
      <c r="J17" s="2">
        <f t="shared" si="6"/>
        <v>3421.2727014676616</v>
      </c>
      <c r="K17">
        <v>3448.6587101337</v>
      </c>
      <c r="L17" s="3">
        <f t="shared" si="5"/>
        <v>5.4916033298017967E-2</v>
      </c>
      <c r="M17" s="3">
        <v>5.5587065932747801E-2</v>
      </c>
      <c r="N17">
        <v>475</v>
      </c>
    </row>
    <row r="18" spans="1:14">
      <c r="A18">
        <v>1788</v>
      </c>
      <c r="B18">
        <v>475</v>
      </c>
      <c r="C18">
        <f t="shared" si="8"/>
        <v>360</v>
      </c>
      <c r="D18" s="2">
        <f t="shared" si="9"/>
        <v>192.62010275909887</v>
      </c>
      <c r="E18" s="2">
        <f t="shared" si="0"/>
        <v>69.883108541261194</v>
      </c>
      <c r="F18" s="2">
        <f t="shared" si="1"/>
        <v>622.50321130036014</v>
      </c>
      <c r="G18">
        <f t="shared" si="2"/>
        <v>552.62010275909893</v>
      </c>
      <c r="H18" s="2">
        <f t="shared" si="3"/>
        <v>-147.50321130036008</v>
      </c>
      <c r="I18" s="2">
        <f t="shared" si="4"/>
        <v>147.50321130036008</v>
      </c>
      <c r="J18" s="2">
        <f t="shared" si="6"/>
        <v>3494.1554270630595</v>
      </c>
      <c r="K18">
        <v>3566.0439999999999</v>
      </c>
      <c r="L18" s="3">
        <f t="shared" si="5"/>
        <v>5.5126369384490073E-2</v>
      </c>
      <c r="M18" s="3">
        <v>5.28603704423612E-2</v>
      </c>
      <c r="N18">
        <v>475</v>
      </c>
    </row>
    <row r="19" spans="1:14">
      <c r="A19">
        <v>1789</v>
      </c>
      <c r="B19">
        <f t="shared" ref="B19:B50" si="10">B18</f>
        <v>475</v>
      </c>
      <c r="C19">
        <f t="shared" si="8"/>
        <v>360</v>
      </c>
      <c r="D19" s="2">
        <f t="shared" si="9"/>
        <v>197.66540943844029</v>
      </c>
      <c r="E19" s="2">
        <f t="shared" si="0"/>
        <v>71.435510596443166</v>
      </c>
      <c r="F19" s="2">
        <f t="shared" si="1"/>
        <v>629.10092003488342</v>
      </c>
      <c r="G19">
        <f t="shared" si="2"/>
        <v>557.66540943844029</v>
      </c>
      <c r="H19" s="2">
        <f t="shared" si="3"/>
        <v>-154.10092003488347</v>
      </c>
      <c r="I19" s="2">
        <f t="shared" si="4"/>
        <v>154.10092003488347</v>
      </c>
      <c r="J19" s="2">
        <f t="shared" si="6"/>
        <v>3571.7755298221582</v>
      </c>
      <c r="K19">
        <v>3666.8148004434602</v>
      </c>
      <c r="L19" s="3">
        <f t="shared" si="5"/>
        <v>5.5340938361902667E-2</v>
      </c>
      <c r="M19" s="3">
        <v>5.3328809701356297E-2</v>
      </c>
    </row>
    <row r="20" spans="1:14">
      <c r="A20">
        <v>1790</v>
      </c>
      <c r="B20">
        <f t="shared" si="10"/>
        <v>475</v>
      </c>
      <c r="C20">
        <f t="shared" si="8"/>
        <v>360</v>
      </c>
      <c r="D20" s="2">
        <f t="shared" si="9"/>
        <v>203.0386610519389</v>
      </c>
      <c r="E20" s="2">
        <f t="shared" si="0"/>
        <v>73.08881878521197</v>
      </c>
      <c r="F20" s="2">
        <f t="shared" si="1"/>
        <v>636.12747983715087</v>
      </c>
      <c r="G20">
        <f t="shared" si="2"/>
        <v>563.0386610519389</v>
      </c>
      <c r="H20" s="2">
        <f t="shared" si="3"/>
        <v>-161.12747983715087</v>
      </c>
      <c r="I20" s="2">
        <f t="shared" si="4"/>
        <v>161.12747983715087</v>
      </c>
      <c r="J20" s="2">
        <f t="shared" si="6"/>
        <v>3654.4409392605985</v>
      </c>
      <c r="L20" s="3">
        <f t="shared" si="5"/>
        <v>5.5559431504458689E-2</v>
      </c>
    </row>
    <row r="21" spans="1:14">
      <c r="A21">
        <v>1791</v>
      </c>
      <c r="B21">
        <f t="shared" si="10"/>
        <v>475</v>
      </c>
      <c r="C21">
        <f t="shared" si="8"/>
        <v>360</v>
      </c>
      <c r="D21" s="2">
        <f t="shared" si="9"/>
        <v>208.76117402031494</v>
      </c>
      <c r="E21" s="2">
        <f t="shared" si="0"/>
        <v>74.849592006250745</v>
      </c>
      <c r="F21" s="2">
        <f t="shared" si="1"/>
        <v>643.61076602656567</v>
      </c>
      <c r="G21">
        <f t="shared" si="2"/>
        <v>568.76117402031491</v>
      </c>
      <c r="H21" s="2">
        <f t="shared" si="3"/>
        <v>-168.61076602656567</v>
      </c>
      <c r="I21" s="2">
        <f t="shared" si="4"/>
        <v>168.61076602656567</v>
      </c>
      <c r="J21" s="2">
        <f t="shared" si="6"/>
        <v>3742.4796003125375</v>
      </c>
      <c r="L21" s="3">
        <f t="shared" si="5"/>
        <v>5.5781512877954263E-2</v>
      </c>
    </row>
    <row r="22" spans="1:14">
      <c r="A22">
        <v>1792</v>
      </c>
      <c r="B22">
        <f t="shared" si="10"/>
        <v>475</v>
      </c>
      <c r="C22">
        <f t="shared" si="8"/>
        <v>360</v>
      </c>
      <c r="D22" s="2">
        <f t="shared" si="9"/>
        <v>214.85565033163545</v>
      </c>
      <c r="E22" s="2">
        <f t="shared" si="0"/>
        <v>76.72481548665705</v>
      </c>
      <c r="F22" s="2">
        <f t="shared" si="1"/>
        <v>651.5804658182924</v>
      </c>
      <c r="G22">
        <f t="shared" si="2"/>
        <v>574.85565033163539</v>
      </c>
      <c r="H22" s="2">
        <f t="shared" si="3"/>
        <v>-176.58046581829251</v>
      </c>
      <c r="I22" s="2">
        <f t="shared" si="4"/>
        <v>176.58046581829251</v>
      </c>
      <c r="J22" s="2">
        <f t="shared" si="6"/>
        <v>3836.2407743328527</v>
      </c>
      <c r="L22" s="3">
        <f t="shared" si="5"/>
        <v>5.600682099235553E-2</v>
      </c>
    </row>
    <row r="23" spans="1:14">
      <c r="A23">
        <v>1793</v>
      </c>
      <c r="B23">
        <f t="shared" si="10"/>
        <v>475</v>
      </c>
      <c r="C23">
        <f t="shared" si="8"/>
        <v>360</v>
      </c>
      <c r="D23" s="2">
        <f t="shared" si="9"/>
        <v>221.34626760319173</v>
      </c>
      <c r="E23" s="2">
        <f t="shared" si="0"/>
        <v>78.721928493289766</v>
      </c>
      <c r="F23" s="2">
        <f t="shared" si="1"/>
        <v>660.06819609648153</v>
      </c>
      <c r="G23">
        <f t="shared" si="2"/>
        <v>581.34626760319179</v>
      </c>
      <c r="H23" s="2">
        <f t="shared" si="3"/>
        <v>-185.0681960964815</v>
      </c>
      <c r="I23" s="2">
        <f t="shared" si="4"/>
        <v>185.0681960964815</v>
      </c>
      <c r="J23" s="2">
        <f t="shared" si="6"/>
        <v>3936.096424664488</v>
      </c>
      <c r="L23" s="3">
        <f t="shared" si="5"/>
        <v>5.6234970824440421E-2</v>
      </c>
    </row>
    <row r="24" spans="1:14">
      <c r="A24">
        <v>1794</v>
      </c>
      <c r="B24">
        <f t="shared" si="10"/>
        <v>475</v>
      </c>
      <c r="C24">
        <f t="shared" si="8"/>
        <v>360</v>
      </c>
      <c r="D24" s="2">
        <f t="shared" si="9"/>
        <v>228.25877499739914</v>
      </c>
      <c r="E24" s="2">
        <f t="shared" si="0"/>
        <v>80.848853845353588</v>
      </c>
      <c r="F24" s="2">
        <f t="shared" si="1"/>
        <v>669.10762884275266</v>
      </c>
      <c r="G24">
        <f t="shared" si="2"/>
        <v>588.25877499739909</v>
      </c>
      <c r="H24" s="2">
        <f t="shared" si="3"/>
        <v>-194.10762884275272</v>
      </c>
      <c r="I24" s="2">
        <f t="shared" si="4"/>
        <v>194.10762884275272</v>
      </c>
      <c r="J24" s="2">
        <f t="shared" si="6"/>
        <v>4042.4426922676794</v>
      </c>
      <c r="L24" s="3">
        <f t="shared" si="5"/>
        <v>5.6465556193043609E-2</v>
      </c>
    </row>
    <row r="25" spans="1:14">
      <c r="A25">
        <v>1795</v>
      </c>
      <c r="B25">
        <f t="shared" si="10"/>
        <v>475</v>
      </c>
      <c r="C25">
        <f t="shared" si="8"/>
        <v>360</v>
      </c>
      <c r="D25" s="2">
        <f t="shared" si="9"/>
        <v>235.6205953722301</v>
      </c>
      <c r="E25" s="2">
        <f t="shared" si="0"/>
        <v>83.114029345301574</v>
      </c>
      <c r="F25" s="2">
        <f t="shared" si="1"/>
        <v>678.73462471753169</v>
      </c>
      <c r="G25">
        <f t="shared" si="2"/>
        <v>595.62059537223013</v>
      </c>
      <c r="H25" s="2">
        <f t="shared" si="3"/>
        <v>-203.73462471753169</v>
      </c>
      <c r="I25" s="2">
        <f t="shared" si="4"/>
        <v>203.73462471753169</v>
      </c>
      <c r="J25" s="2">
        <f t="shared" si="6"/>
        <v>4155.7014672650785</v>
      </c>
      <c r="L25" s="3">
        <f t="shared" si="5"/>
        <v>5.6698152460719249E-2</v>
      </c>
    </row>
    <row r="26" spans="1:14">
      <c r="A26">
        <v>1796</v>
      </c>
      <c r="B26">
        <f t="shared" si="10"/>
        <v>475</v>
      </c>
      <c r="C26">
        <f t="shared" si="8"/>
        <v>360</v>
      </c>
      <c r="D26" s="2">
        <f t="shared" si="9"/>
        <v>243.46093407142507</v>
      </c>
      <c r="E26" s="2">
        <f t="shared" si="0"/>
        <v>85.526441252746167</v>
      </c>
      <c r="F26" s="2">
        <f t="shared" si="1"/>
        <v>688.98737532417124</v>
      </c>
      <c r="G26">
        <f t="shared" si="2"/>
        <v>603.46093407142507</v>
      </c>
      <c r="H26" s="2">
        <f t="shared" si="3"/>
        <v>-213.98737532417124</v>
      </c>
      <c r="I26" s="2">
        <f t="shared" si="4"/>
        <v>213.98737532417124</v>
      </c>
      <c r="J26" s="2">
        <f t="shared" si="6"/>
        <v>4276.3220626373086</v>
      </c>
      <c r="L26" s="3">
        <f t="shared" si="5"/>
        <v>5.6932319527233405E-2</v>
      </c>
    </row>
    <row r="27" spans="1:14">
      <c r="A27">
        <f t="shared" ref="A27:A58" si="11">A26+1</f>
        <v>1797</v>
      </c>
      <c r="B27">
        <f t="shared" si="10"/>
        <v>475</v>
      </c>
      <c r="C27">
        <f t="shared" si="8"/>
        <v>360</v>
      </c>
      <c r="D27" s="2">
        <f t="shared" si="9"/>
        <v>251.81089478606771</v>
      </c>
      <c r="E27" s="2">
        <f t="shared" si="0"/>
        <v>88.095659934174677</v>
      </c>
      <c r="F27" s="2">
        <f t="shared" si="1"/>
        <v>699.90655472024241</v>
      </c>
      <c r="G27">
        <f t="shared" si="2"/>
        <v>611.81089478606771</v>
      </c>
      <c r="H27" s="2">
        <f t="shared" si="3"/>
        <v>-224.90655472024238</v>
      </c>
      <c r="I27" s="2">
        <f t="shared" si="4"/>
        <v>224.90655472024238</v>
      </c>
      <c r="J27" s="2">
        <f t="shared" si="6"/>
        <v>4404.7829967087337</v>
      </c>
      <c r="L27" s="3">
        <f t="shared" si="5"/>
        <v>5.7167605072536265E-2</v>
      </c>
    </row>
    <row r="28" spans="1:14">
      <c r="A28">
        <f t="shared" si="11"/>
        <v>1798</v>
      </c>
      <c r="B28">
        <f t="shared" si="10"/>
        <v>475</v>
      </c>
      <c r="C28">
        <f t="shared" si="8"/>
        <v>360</v>
      </c>
      <c r="D28" s="2">
        <f t="shared" si="9"/>
        <v>260.70360294716215</v>
      </c>
      <c r="E28" s="2">
        <f t="shared" si="0"/>
        <v>90.831877829896044</v>
      </c>
      <c r="F28" s="2">
        <f t="shared" si="1"/>
        <v>711.53548077705818</v>
      </c>
      <c r="G28">
        <f t="shared" si="2"/>
        <v>620.70360294716215</v>
      </c>
      <c r="H28" s="2">
        <f t="shared" si="3"/>
        <v>-236.53548077705818</v>
      </c>
      <c r="I28" s="2">
        <f t="shared" si="4"/>
        <v>236.53548077705818</v>
      </c>
      <c r="J28" s="2">
        <f t="shared" si="6"/>
        <v>4541.5938914948019</v>
      </c>
      <c r="L28" s="3">
        <f t="shared" si="5"/>
        <v>5.7403548000051416E-2</v>
      </c>
    </row>
    <row r="29" spans="1:14">
      <c r="A29">
        <f t="shared" si="11"/>
        <v>1799</v>
      </c>
      <c r="B29">
        <f t="shared" si="10"/>
        <v>475</v>
      </c>
      <c r="C29">
        <f t="shared" si="8"/>
        <v>360</v>
      </c>
      <c r="D29" s="2">
        <f t="shared" si="9"/>
        <v>270.17433713872765</v>
      </c>
      <c r="E29" s="2">
        <f t="shared" si="0"/>
        <v>93.745949888839277</v>
      </c>
      <c r="F29" s="2">
        <f t="shared" si="1"/>
        <v>723.92028702756693</v>
      </c>
      <c r="G29">
        <f t="shared" si="2"/>
        <v>630.17433713872765</v>
      </c>
      <c r="H29" s="2">
        <f t="shared" si="3"/>
        <v>-248.92028702756693</v>
      </c>
      <c r="I29" s="2">
        <f t="shared" si="4"/>
        <v>248.92028702756693</v>
      </c>
      <c r="J29" s="2">
        <f t="shared" si="6"/>
        <v>4687.2974944419639</v>
      </c>
      <c r="L29" s="3">
        <f t="shared" si="5"/>
        <v>5.7639682025536265E-2</v>
      </c>
    </row>
    <row r="30" spans="1:14">
      <c r="A30">
        <f t="shared" si="11"/>
        <v>1800</v>
      </c>
      <c r="B30">
        <f t="shared" si="10"/>
        <v>475</v>
      </c>
      <c r="C30">
        <f t="shared" si="8"/>
        <v>360</v>
      </c>
      <c r="D30" s="2">
        <f t="shared" si="9"/>
        <v>280.2606690527449</v>
      </c>
      <c r="E30" s="2">
        <f t="shared" si="0"/>
        <v>96.849436631613827</v>
      </c>
      <c r="F30" s="2">
        <f t="shared" si="1"/>
        <v>737.1101056843587</v>
      </c>
      <c r="G30">
        <f t="shared" si="2"/>
        <v>640.2606690527449</v>
      </c>
      <c r="H30" s="2">
        <f t="shared" si="3"/>
        <v>-262.1101056843587</v>
      </c>
      <c r="I30" s="2">
        <f t="shared" si="4"/>
        <v>262.1101056843587</v>
      </c>
      <c r="J30" s="2">
        <f t="shared" si="6"/>
        <v>4842.4718315806913</v>
      </c>
      <c r="L30" s="3">
        <f t="shared" si="5"/>
        <v>5.7875539352649483E-2</v>
      </c>
    </row>
    <row r="31" spans="1:14">
      <c r="A31">
        <f t="shared" si="11"/>
        <v>1801</v>
      </c>
      <c r="B31">
        <f t="shared" si="10"/>
        <v>475</v>
      </c>
      <c r="C31">
        <f t="shared" si="8"/>
        <v>360</v>
      </c>
      <c r="D31" s="2">
        <f t="shared" si="9"/>
        <v>291.00261254117339</v>
      </c>
      <c r="E31" s="2">
        <f t="shared" si="0"/>
        <v>100.15465001266874</v>
      </c>
      <c r="F31" s="2">
        <f t="shared" si="1"/>
        <v>751.1572625538422</v>
      </c>
      <c r="G31">
        <f t="shared" si="2"/>
        <v>651.00261254117345</v>
      </c>
      <c r="H31" s="2">
        <f t="shared" si="3"/>
        <v>-276.15726255384214</v>
      </c>
      <c r="I31" s="2">
        <f t="shared" si="4"/>
        <v>276.15726255384214</v>
      </c>
      <c r="J31" s="2">
        <f t="shared" si="6"/>
        <v>5007.7325006334368</v>
      </c>
      <c r="L31" s="3">
        <f t="shared" si="5"/>
        <v>5.8110654373883582E-2</v>
      </c>
    </row>
    <row r="32" spans="1:14">
      <c r="A32">
        <f t="shared" si="11"/>
        <v>1802</v>
      </c>
      <c r="B32">
        <f t="shared" si="10"/>
        <v>475</v>
      </c>
      <c r="C32">
        <f t="shared" si="8"/>
        <v>360</v>
      </c>
      <c r="D32" s="2">
        <f t="shared" si="9"/>
        <v>302.44278235634965</v>
      </c>
      <c r="E32" s="2">
        <f t="shared" si="0"/>
        <v>103.67470226349221</v>
      </c>
      <c r="F32" s="2">
        <f t="shared" si="1"/>
        <v>766.11748461984189</v>
      </c>
      <c r="G32">
        <f t="shared" si="2"/>
        <v>662.44278235634965</v>
      </c>
      <c r="H32" s="2">
        <f t="shared" si="3"/>
        <v>-291.11748461984189</v>
      </c>
      <c r="I32" s="2">
        <f t="shared" si="4"/>
        <v>291.11748461984189</v>
      </c>
      <c r="J32" s="2">
        <f t="shared" si="6"/>
        <v>5183.73511317461</v>
      </c>
      <c r="L32" s="3">
        <f t="shared" si="5"/>
        <v>5.834456733479354E-2</v>
      </c>
    </row>
    <row r="33" spans="1:12">
      <c r="A33">
        <f t="shared" si="11"/>
        <v>1803</v>
      </c>
      <c r="B33">
        <f t="shared" si="10"/>
        <v>475</v>
      </c>
      <c r="C33">
        <f t="shared" si="8"/>
        <v>360</v>
      </c>
      <c r="D33" s="2">
        <f t="shared" si="9"/>
        <v>314.62656320951243</v>
      </c>
      <c r="E33" s="2">
        <f t="shared" si="0"/>
        <v>107.42355791061921</v>
      </c>
      <c r="F33" s="2">
        <f t="shared" si="1"/>
        <v>782.05012112013162</v>
      </c>
      <c r="G33">
        <f t="shared" si="2"/>
        <v>674.62656320951237</v>
      </c>
      <c r="H33" s="2">
        <f t="shared" si="3"/>
        <v>-307.05012112013162</v>
      </c>
      <c r="I33" s="2">
        <f t="shared" si="4"/>
        <v>307.05012112013162</v>
      </c>
      <c r="J33" s="2">
        <f t="shared" si="6"/>
        <v>5371.1778955309601</v>
      </c>
      <c r="L33" s="3">
        <f t="shared" si="5"/>
        <v>5.8576827900504766E-2</v>
      </c>
    </row>
    <row r="34" spans="1:12">
      <c r="A34">
        <f t="shared" si="11"/>
        <v>1804</v>
      </c>
      <c r="B34">
        <f t="shared" si="10"/>
        <v>475</v>
      </c>
      <c r="C34">
        <f t="shared" si="8"/>
        <v>360</v>
      </c>
      <c r="D34" s="2">
        <f t="shared" si="9"/>
        <v>327.60228981813077</v>
      </c>
      <c r="E34" s="2">
        <f t="shared" si="0"/>
        <v>111.41608917480946</v>
      </c>
      <c r="F34" s="2">
        <f t="shared" si="1"/>
        <v>799.01837899294026</v>
      </c>
      <c r="G34">
        <f t="shared" si="2"/>
        <v>687.60228981813077</v>
      </c>
      <c r="H34" s="2">
        <f t="shared" si="3"/>
        <v>-324.01837899294026</v>
      </c>
      <c r="I34" s="2">
        <f t="shared" si="4"/>
        <v>324.01837899294026</v>
      </c>
      <c r="J34" s="2">
        <f t="shared" si="6"/>
        <v>5570.8044587404729</v>
      </c>
      <c r="L34" s="3">
        <f t="shared" si="5"/>
        <v>5.8806998566271661E-2</v>
      </c>
    </row>
    <row r="35" spans="1:12">
      <c r="A35">
        <f t="shared" si="11"/>
        <v>1805</v>
      </c>
      <c r="B35">
        <f t="shared" si="10"/>
        <v>475</v>
      </c>
      <c r="C35">
        <f t="shared" si="8"/>
        <v>360</v>
      </c>
      <c r="D35" s="2">
        <f t="shared" si="9"/>
        <v>341.42143865630925</v>
      </c>
      <c r="E35" s="2">
        <f t="shared" si="0"/>
        <v>115.66813497117208</v>
      </c>
      <c r="F35" s="2">
        <f t="shared" si="1"/>
        <v>817.08957362748129</v>
      </c>
      <c r="G35">
        <f t="shared" si="2"/>
        <v>701.42143865630919</v>
      </c>
      <c r="H35" s="2">
        <f t="shared" si="3"/>
        <v>-342.08957362748134</v>
      </c>
      <c r="I35" s="2">
        <f t="shared" si="4"/>
        <v>342.08957362748134</v>
      </c>
      <c r="J35" s="2">
        <f t="shared" si="6"/>
        <v>5783.4067485586038</v>
      </c>
      <c r="L35" s="3">
        <f t="shared" si="5"/>
        <v>5.903465785826003E-2</v>
      </c>
    </row>
    <row r="36" spans="1:12">
      <c r="A36">
        <f t="shared" si="11"/>
        <v>1806</v>
      </c>
      <c r="B36">
        <f t="shared" si="10"/>
        <v>475</v>
      </c>
      <c r="C36">
        <f t="shared" si="8"/>
        <v>360</v>
      </c>
      <c r="D36" s="2">
        <f t="shared" si="9"/>
        <v>356.13883216896943</v>
      </c>
      <c r="E36" s="2">
        <f t="shared" ref="E36:E67" si="12">0.02*J36</f>
        <v>120.19656374429827</v>
      </c>
      <c r="F36" s="2">
        <f t="shared" ref="F36:F67" si="13">C36+D36+E36</f>
        <v>836.33539591326769</v>
      </c>
      <c r="G36">
        <f t="shared" ref="G36:G67" si="14">C36+D36</f>
        <v>716.13883216896943</v>
      </c>
      <c r="H36" s="2">
        <f t="shared" ref="H36:H67" si="15">B36-C36-D36-E36</f>
        <v>-361.33539591326769</v>
      </c>
      <c r="I36" s="2">
        <f t="shared" ref="I36:I67" si="16">-H36</f>
        <v>361.33539591326769</v>
      </c>
      <c r="J36" s="2">
        <f t="shared" si="6"/>
        <v>6009.8281872149137</v>
      </c>
      <c r="L36" s="3">
        <f t="shared" ref="L36:L67" si="17">D36/J36</f>
        <v>5.92594032765539E-2</v>
      </c>
    </row>
    <row r="37" spans="1:12">
      <c r="A37">
        <f t="shared" si="11"/>
        <v>1807</v>
      </c>
      <c r="B37">
        <f t="shared" si="10"/>
        <v>475</v>
      </c>
      <c r="C37">
        <f t="shared" si="8"/>
        <v>360</v>
      </c>
      <c r="D37" s="2">
        <f t="shared" si="9"/>
        <v>371.81285625995241</v>
      </c>
      <c r="E37" s="2">
        <f t="shared" si="12"/>
        <v>125.01934038767766</v>
      </c>
      <c r="F37" s="2">
        <f t="shared" si="13"/>
        <v>856.8321966476301</v>
      </c>
      <c r="G37">
        <f t="shared" si="14"/>
        <v>731.81285625995247</v>
      </c>
      <c r="H37" s="2">
        <f t="shared" si="15"/>
        <v>-381.8321966476301</v>
      </c>
      <c r="I37" s="2">
        <f t="shared" si="16"/>
        <v>381.8321966476301</v>
      </c>
      <c r="J37" s="2">
        <f t="shared" ref="J37:J68" si="18">J36+I36-E36</f>
        <v>6250.9670193838829</v>
      </c>
      <c r="L37" s="3">
        <f t="shared" si="17"/>
        <v>5.94808539393957E-2</v>
      </c>
    </row>
    <row r="38" spans="1:12">
      <c r="A38">
        <f t="shared" si="11"/>
        <v>1808</v>
      </c>
      <c r="B38">
        <f t="shared" si="10"/>
        <v>475</v>
      </c>
      <c r="C38">
        <f t="shared" si="8"/>
        <v>360</v>
      </c>
      <c r="D38" s="2">
        <f t="shared" si="9"/>
        <v>388.50569191684934</v>
      </c>
      <c r="E38" s="2">
        <f t="shared" si="12"/>
        <v>130.15559751287671</v>
      </c>
      <c r="F38" s="2">
        <f t="shared" si="13"/>
        <v>878.66128942972614</v>
      </c>
      <c r="G38">
        <f t="shared" si="14"/>
        <v>748.5056919168494</v>
      </c>
      <c r="H38" s="2">
        <f t="shared" si="15"/>
        <v>-403.66128942972603</v>
      </c>
      <c r="I38" s="2">
        <f t="shared" si="16"/>
        <v>403.66128942972603</v>
      </c>
      <c r="J38" s="2">
        <f t="shared" si="18"/>
        <v>6507.779875643836</v>
      </c>
      <c r="L38" s="3">
        <f t="shared" si="17"/>
        <v>5.9698652895571885E-2</v>
      </c>
    </row>
    <row r="39" spans="1:12">
      <c r="A39">
        <f t="shared" si="11"/>
        <v>1809</v>
      </c>
      <c r="B39">
        <f t="shared" si="10"/>
        <v>475</v>
      </c>
      <c r="C39">
        <f t="shared" si="8"/>
        <v>360</v>
      </c>
      <c r="D39" s="2">
        <f t="shared" si="9"/>
        <v>406.28356189144455</v>
      </c>
      <c r="E39" s="2">
        <f t="shared" si="12"/>
        <v>135.62571135121371</v>
      </c>
      <c r="F39" s="2">
        <f t="shared" si="13"/>
        <v>901.90927324265829</v>
      </c>
      <c r="G39">
        <f t="shared" si="14"/>
        <v>766.28356189144461</v>
      </c>
      <c r="H39" s="2">
        <f t="shared" si="15"/>
        <v>-426.90927324265829</v>
      </c>
      <c r="I39" s="2">
        <f t="shared" si="16"/>
        <v>426.90927324265829</v>
      </c>
      <c r="J39" s="2">
        <f t="shared" si="18"/>
        <v>6781.2855675606852</v>
      </c>
      <c r="L39" s="3">
        <f t="shared" si="17"/>
        <v>5.9912469080341341E-2</v>
      </c>
    </row>
    <row r="40" spans="1:12">
      <c r="A40">
        <f t="shared" si="11"/>
        <v>1810</v>
      </c>
      <c r="B40">
        <f t="shared" si="10"/>
        <v>475</v>
      </c>
      <c r="C40">
        <f t="shared" si="8"/>
        <v>360</v>
      </c>
      <c r="D40" s="2">
        <f t="shared" si="9"/>
        <v>425.21699341438841</v>
      </c>
      <c r="E40" s="2">
        <f t="shared" si="12"/>
        <v>141.45138258904259</v>
      </c>
      <c r="F40" s="2">
        <f t="shared" si="13"/>
        <v>926.66837600343104</v>
      </c>
      <c r="G40">
        <f t="shared" si="14"/>
        <v>785.21699341438841</v>
      </c>
      <c r="H40" s="2">
        <f t="shared" si="15"/>
        <v>-451.66837600343104</v>
      </c>
      <c r="I40" s="2">
        <f t="shared" si="16"/>
        <v>451.66837600343104</v>
      </c>
      <c r="J40" s="2">
        <f t="shared" si="18"/>
        <v>7072.5691294521293</v>
      </c>
      <c r="L40" s="3">
        <f t="shared" si="17"/>
        <v>6.0121998899051766E-2</v>
      </c>
    </row>
    <row r="41" spans="1:12">
      <c r="A41">
        <f t="shared" si="11"/>
        <v>1811</v>
      </c>
      <c r="B41">
        <f t="shared" si="10"/>
        <v>475</v>
      </c>
      <c r="C41">
        <f t="shared" si="8"/>
        <v>360</v>
      </c>
      <c r="D41" s="2">
        <f t="shared" si="9"/>
        <v>445.38109798632365</v>
      </c>
      <c r="E41" s="2">
        <f t="shared" si="12"/>
        <v>147.65572245733037</v>
      </c>
      <c r="F41" s="2">
        <f t="shared" si="13"/>
        <v>953.03682044365405</v>
      </c>
      <c r="G41">
        <f t="shared" si="14"/>
        <v>805.38109798632365</v>
      </c>
      <c r="H41" s="2">
        <f t="shared" si="15"/>
        <v>-478.03682044365405</v>
      </c>
      <c r="I41" s="2">
        <f t="shared" si="16"/>
        <v>478.03682044365405</v>
      </c>
      <c r="J41" s="2">
        <f t="shared" si="18"/>
        <v>7382.7861228665179</v>
      </c>
      <c r="L41" s="3">
        <f t="shared" si="17"/>
        <v>6.0326967431286675E-2</v>
      </c>
    </row>
    <row r="42" spans="1:12">
      <c r="A42">
        <f t="shared" si="11"/>
        <v>1812</v>
      </c>
      <c r="B42">
        <f t="shared" si="10"/>
        <v>475</v>
      </c>
      <c r="C42">
        <f t="shared" si="8"/>
        <v>360</v>
      </c>
      <c r="D42" s="2">
        <f t="shared" si="9"/>
        <v>466.85586935543466</v>
      </c>
      <c r="E42" s="2">
        <f t="shared" si="12"/>
        <v>154.26334441705683</v>
      </c>
      <c r="F42" s="2">
        <f t="shared" si="13"/>
        <v>981.11921377249143</v>
      </c>
      <c r="G42">
        <f t="shared" si="14"/>
        <v>826.85586935543461</v>
      </c>
      <c r="H42" s="2">
        <f t="shared" si="15"/>
        <v>-506.11921377249149</v>
      </c>
      <c r="I42" s="2">
        <f t="shared" si="16"/>
        <v>506.11921377249149</v>
      </c>
      <c r="J42" s="2">
        <f t="shared" si="18"/>
        <v>7713.1672208528407</v>
      </c>
      <c r="L42" s="3">
        <f t="shared" si="17"/>
        <v>6.0527129256743209E-2</v>
      </c>
    </row>
    <row r="43" spans="1:12">
      <c r="A43">
        <f t="shared" si="11"/>
        <v>1813</v>
      </c>
      <c r="B43">
        <f t="shared" si="10"/>
        <v>475</v>
      </c>
      <c r="C43">
        <f t="shared" si="8"/>
        <v>360</v>
      </c>
      <c r="D43" s="2">
        <f t="shared" si="9"/>
        <v>489.72650086353786</v>
      </c>
      <c r="E43" s="2">
        <f t="shared" si="12"/>
        <v>161.30046180416551</v>
      </c>
      <c r="F43" s="2">
        <f t="shared" si="13"/>
        <v>1011.0269626677034</v>
      </c>
      <c r="G43">
        <f t="shared" si="14"/>
        <v>849.72650086353792</v>
      </c>
      <c r="H43" s="2">
        <f t="shared" si="15"/>
        <v>-536.0269626677034</v>
      </c>
      <c r="I43" s="2">
        <f t="shared" si="16"/>
        <v>536.0269626677034</v>
      </c>
      <c r="J43" s="2">
        <f t="shared" si="18"/>
        <v>8065.0230902082749</v>
      </c>
      <c r="L43" s="3">
        <f t="shared" si="17"/>
        <v>6.0722268911804309E-2</v>
      </c>
    </row>
    <row r="44" spans="1:12">
      <c r="A44">
        <f t="shared" si="11"/>
        <v>1814</v>
      </c>
      <c r="B44">
        <f t="shared" si="10"/>
        <v>475</v>
      </c>
      <c r="C44">
        <f t="shared" si="8"/>
        <v>360</v>
      </c>
      <c r="D44" s="2">
        <f t="shared" si="9"/>
        <v>514.08372341966788</v>
      </c>
      <c r="E44" s="2">
        <f t="shared" si="12"/>
        <v>168.79499182143627</v>
      </c>
      <c r="F44" s="2">
        <f t="shared" si="13"/>
        <v>1042.8787152411041</v>
      </c>
      <c r="G44">
        <f t="shared" si="14"/>
        <v>874.08372341966788</v>
      </c>
      <c r="H44" s="2">
        <f t="shared" si="15"/>
        <v>-567.87871524110415</v>
      </c>
      <c r="I44" s="2">
        <f t="shared" si="16"/>
        <v>567.87871524110415</v>
      </c>
      <c r="J44" s="2">
        <f t="shared" si="18"/>
        <v>8439.7495910718135</v>
      </c>
      <c r="L44" s="3">
        <f t="shared" si="17"/>
        <v>6.0912200992728906E-2</v>
      </c>
    </row>
    <row r="45" spans="1:12">
      <c r="A45">
        <f t="shared" si="11"/>
        <v>1815</v>
      </c>
      <c r="B45">
        <f t="shared" si="10"/>
        <v>475</v>
      </c>
      <c r="C45">
        <f t="shared" si="8"/>
        <v>360</v>
      </c>
      <c r="D45" s="2">
        <f t="shared" si="9"/>
        <v>540.02416544194625</v>
      </c>
      <c r="E45" s="2">
        <f t="shared" si="12"/>
        <v>176.77666628982962</v>
      </c>
      <c r="F45" s="2">
        <f t="shared" si="13"/>
        <v>1076.8008317317758</v>
      </c>
      <c r="G45">
        <f t="shared" si="14"/>
        <v>900.02416544194625</v>
      </c>
      <c r="H45" s="2">
        <f t="shared" si="15"/>
        <v>-601.80083173177582</v>
      </c>
      <c r="I45" s="2">
        <f t="shared" si="16"/>
        <v>601.80083173177582</v>
      </c>
      <c r="J45" s="2">
        <f t="shared" si="18"/>
        <v>8838.8333144914814</v>
      </c>
      <c r="L45" s="3">
        <f t="shared" si="17"/>
        <v>6.1096769927379842E-2</v>
      </c>
    </row>
    <row r="46" spans="1:12">
      <c r="A46">
        <f t="shared" si="11"/>
        <v>1816</v>
      </c>
      <c r="B46">
        <f t="shared" si="10"/>
        <v>475</v>
      </c>
      <c r="C46">
        <f t="shared" si="8"/>
        <v>360</v>
      </c>
      <c r="D46" s="2">
        <f t="shared" si="9"/>
        <v>567.65073619567283</v>
      </c>
      <c r="E46" s="2">
        <f t="shared" si="12"/>
        <v>185.27714959866856</v>
      </c>
      <c r="F46" s="2">
        <f t="shared" si="13"/>
        <v>1112.9278857943414</v>
      </c>
      <c r="G46">
        <f t="shared" si="14"/>
        <v>927.65073619567283</v>
      </c>
      <c r="H46" s="2">
        <f t="shared" si="15"/>
        <v>-637.92788579434136</v>
      </c>
      <c r="I46" s="2">
        <f t="shared" si="16"/>
        <v>637.92788579434136</v>
      </c>
      <c r="J46" s="2">
        <f t="shared" si="18"/>
        <v>9263.8574799334274</v>
      </c>
      <c r="L46" s="3">
        <f t="shared" si="17"/>
        <v>6.1275849442337507E-2</v>
      </c>
    </row>
    <row r="47" spans="1:12">
      <c r="A47">
        <f t="shared" si="11"/>
        <v>1817</v>
      </c>
      <c r="B47">
        <f t="shared" si="10"/>
        <v>475</v>
      </c>
      <c r="C47">
        <f t="shared" ref="C47:C78" si="19">C46</f>
        <v>360</v>
      </c>
      <c r="D47" s="2">
        <f t="shared" si="9"/>
        <v>597.07303404839149</v>
      </c>
      <c r="E47" s="2">
        <f t="shared" si="12"/>
        <v>194.33016432258199</v>
      </c>
      <c r="F47" s="2">
        <f t="shared" si="13"/>
        <v>1151.4031983709735</v>
      </c>
      <c r="G47">
        <f t="shared" si="14"/>
        <v>957.07303404839149</v>
      </c>
      <c r="H47" s="2">
        <f t="shared" si="15"/>
        <v>-676.40319837097354</v>
      </c>
      <c r="I47" s="2">
        <f t="shared" si="16"/>
        <v>676.40319837097354</v>
      </c>
      <c r="J47" s="2">
        <f t="shared" si="18"/>
        <v>9716.5082161290993</v>
      </c>
      <c r="L47" s="3">
        <f t="shared" si="17"/>
        <v>6.1449341756050692E-2</v>
      </c>
    </row>
    <row r="48" spans="1:12">
      <c r="A48">
        <f t="shared" si="11"/>
        <v>1818</v>
      </c>
      <c r="B48">
        <f t="shared" si="10"/>
        <v>475</v>
      </c>
      <c r="C48">
        <f t="shared" si="19"/>
        <v>360</v>
      </c>
      <c r="D48" s="2">
        <f t="shared" ref="D48:D79" si="20">0.05*$J$8+IF(J48/J47&gt;1,$D$3,$D$2)*(J48-$J$8)</f>
        <v>628.40778126153691</v>
      </c>
      <c r="E48" s="2">
        <f t="shared" si="12"/>
        <v>203.97162500354983</v>
      </c>
      <c r="F48" s="2">
        <f t="shared" si="13"/>
        <v>1192.3794062650868</v>
      </c>
      <c r="G48">
        <f t="shared" si="14"/>
        <v>988.40778126153691</v>
      </c>
      <c r="H48" s="2">
        <f t="shared" si="15"/>
        <v>-717.3794062650868</v>
      </c>
      <c r="I48" s="2">
        <f t="shared" si="16"/>
        <v>717.3794062650868</v>
      </c>
      <c r="J48" s="2">
        <f t="shared" si="18"/>
        <v>10198.581250177491</v>
      </c>
      <c r="L48" s="3">
        <f t="shared" si="17"/>
        <v>6.161717653135336E-2</v>
      </c>
    </row>
    <row r="49" spans="1:12">
      <c r="A49">
        <f t="shared" si="11"/>
        <v>1819</v>
      </c>
      <c r="B49">
        <f t="shared" si="10"/>
        <v>475</v>
      </c>
      <c r="C49">
        <f t="shared" si="19"/>
        <v>360</v>
      </c>
      <c r="D49" s="2">
        <f t="shared" si="20"/>
        <v>661.7792870435369</v>
      </c>
      <c r="E49" s="2">
        <f t="shared" si="12"/>
        <v>214.23978062878058</v>
      </c>
      <c r="F49" s="2">
        <f t="shared" si="13"/>
        <v>1236.0190676723175</v>
      </c>
      <c r="G49">
        <f t="shared" si="14"/>
        <v>1021.7792870435369</v>
      </c>
      <c r="H49" s="2">
        <f t="shared" si="15"/>
        <v>-761.01906767231753</v>
      </c>
      <c r="I49" s="2">
        <f t="shared" si="16"/>
        <v>761.01906767231753</v>
      </c>
      <c r="J49" s="2">
        <f t="shared" si="18"/>
        <v>10711.989031439029</v>
      </c>
      <c r="L49" s="3">
        <f t="shared" si="17"/>
        <v>6.1779309622261136E-2</v>
      </c>
    </row>
    <row r="50" spans="1:12">
      <c r="A50">
        <f t="shared" si="11"/>
        <v>1820</v>
      </c>
      <c r="B50">
        <f t="shared" si="10"/>
        <v>475</v>
      </c>
      <c r="C50">
        <f t="shared" si="19"/>
        <v>360</v>
      </c>
      <c r="D50" s="2">
        <f t="shared" si="20"/>
        <v>697.31994070136682</v>
      </c>
      <c r="E50" s="2">
        <f t="shared" si="12"/>
        <v>225.17536636965133</v>
      </c>
      <c r="F50" s="2">
        <f t="shared" si="13"/>
        <v>1282.495307071018</v>
      </c>
      <c r="G50">
        <f t="shared" si="14"/>
        <v>1057.3199407013667</v>
      </c>
      <c r="H50" s="2">
        <f t="shared" si="15"/>
        <v>-807.49530707101815</v>
      </c>
      <c r="I50" s="2">
        <f t="shared" si="16"/>
        <v>807.49530707101815</v>
      </c>
      <c r="J50" s="2">
        <f t="shared" si="18"/>
        <v>11258.768318482566</v>
      </c>
      <c r="L50" s="3">
        <f t="shared" si="17"/>
        <v>6.1935721650532218E-2</v>
      </c>
    </row>
    <row r="51" spans="1:12">
      <c r="A51">
        <f t="shared" si="11"/>
        <v>1821</v>
      </c>
      <c r="B51">
        <f t="shared" ref="B51:B82" si="21">B50</f>
        <v>475</v>
      </c>
      <c r="C51">
        <f t="shared" si="19"/>
        <v>360</v>
      </c>
      <c r="D51" s="2">
        <f t="shared" si="20"/>
        <v>735.17073684695561</v>
      </c>
      <c r="E51" s="2">
        <f t="shared" si="12"/>
        <v>236.82176518367865</v>
      </c>
      <c r="F51" s="2">
        <f t="shared" si="13"/>
        <v>1331.9925020306343</v>
      </c>
      <c r="G51">
        <f t="shared" si="14"/>
        <v>1095.1707368469556</v>
      </c>
      <c r="H51" s="2">
        <f t="shared" si="15"/>
        <v>-856.99250203063423</v>
      </c>
      <c r="I51" s="2">
        <f t="shared" si="16"/>
        <v>856.99250203063423</v>
      </c>
      <c r="J51" s="2">
        <f t="shared" si="18"/>
        <v>11841.088259183933</v>
      </c>
      <c r="L51" s="3">
        <f t="shared" si="17"/>
        <v>6.2086416447133405E-2</v>
      </c>
    </row>
    <row r="52" spans="1:12">
      <c r="A52">
        <f t="shared" si="11"/>
        <v>1822</v>
      </c>
      <c r="B52">
        <f t="shared" si="21"/>
        <v>475</v>
      </c>
      <c r="C52">
        <f t="shared" si="19"/>
        <v>360</v>
      </c>
      <c r="D52" s="2">
        <f t="shared" si="20"/>
        <v>775.48183474200778</v>
      </c>
      <c r="E52" s="2">
        <f t="shared" si="12"/>
        <v>249.22517992061779</v>
      </c>
      <c r="F52" s="2">
        <f t="shared" si="13"/>
        <v>1384.7070146626256</v>
      </c>
      <c r="G52">
        <f t="shared" si="14"/>
        <v>1135.4818347420078</v>
      </c>
      <c r="H52" s="2">
        <f t="shared" si="15"/>
        <v>-909.70701466262562</v>
      </c>
      <c r="I52" s="2">
        <f t="shared" si="16"/>
        <v>909.70701466262562</v>
      </c>
      <c r="J52" s="2">
        <f t="shared" si="18"/>
        <v>12461.258996030889</v>
      </c>
      <c r="L52" s="3">
        <f t="shared" si="17"/>
        <v>6.223141939261604E-2</v>
      </c>
    </row>
    <row r="53" spans="1:12">
      <c r="A53">
        <f t="shared" si="11"/>
        <v>1823</v>
      </c>
      <c r="B53">
        <f t="shared" si="21"/>
        <v>475</v>
      </c>
      <c r="C53">
        <f t="shared" si="19"/>
        <v>360</v>
      </c>
      <c r="D53" s="2">
        <f t="shared" si="20"/>
        <v>818.41315400023836</v>
      </c>
      <c r="E53" s="2">
        <f t="shared" si="12"/>
        <v>262.43481661545798</v>
      </c>
      <c r="F53" s="2">
        <f t="shared" si="13"/>
        <v>1440.8479706156963</v>
      </c>
      <c r="G53">
        <f t="shared" si="14"/>
        <v>1178.4131540002384</v>
      </c>
      <c r="H53" s="2">
        <f t="shared" si="15"/>
        <v>-965.84797061569634</v>
      </c>
      <c r="I53" s="2">
        <f t="shared" si="16"/>
        <v>965.84797061569634</v>
      </c>
      <c r="J53" s="2">
        <f t="shared" si="18"/>
        <v>13121.740830772898</v>
      </c>
      <c r="L53" s="3">
        <f t="shared" si="17"/>
        <v>6.2370775688612053E-2</v>
      </c>
    </row>
    <row r="54" spans="1:12">
      <c r="A54">
        <f t="shared" si="11"/>
        <v>1824</v>
      </c>
      <c r="B54">
        <f t="shared" si="21"/>
        <v>475</v>
      </c>
      <c r="C54">
        <f t="shared" si="19"/>
        <v>360</v>
      </c>
      <c r="D54" s="2">
        <f t="shared" si="20"/>
        <v>864.13500901025395</v>
      </c>
      <c r="E54" s="2">
        <f t="shared" si="12"/>
        <v>276.50307969546276</v>
      </c>
      <c r="F54" s="2">
        <f t="shared" si="13"/>
        <v>1500.6380887057167</v>
      </c>
      <c r="G54">
        <f t="shared" si="14"/>
        <v>1224.135009010254</v>
      </c>
      <c r="H54" s="2">
        <f t="shared" si="15"/>
        <v>-1025.6380887057167</v>
      </c>
      <c r="I54" s="2">
        <f t="shared" si="16"/>
        <v>1025.6380887057167</v>
      </c>
      <c r="J54" s="2">
        <f t="shared" si="18"/>
        <v>13825.153984773136</v>
      </c>
      <c r="L54" s="3">
        <f t="shared" si="17"/>
        <v>6.2504548590344974E-2</v>
      </c>
    </row>
    <row r="55" spans="1:12">
      <c r="A55">
        <f t="shared" si="11"/>
        <v>1825</v>
      </c>
      <c r="B55">
        <f t="shared" si="21"/>
        <v>475</v>
      </c>
      <c r="C55">
        <f t="shared" si="19"/>
        <v>360</v>
      </c>
      <c r="D55" s="2">
        <f t="shared" si="20"/>
        <v>912.82878459592041</v>
      </c>
      <c r="E55" s="2">
        <f t="shared" si="12"/>
        <v>291.48577987566779</v>
      </c>
      <c r="F55" s="2">
        <f t="shared" si="13"/>
        <v>1564.314564471588</v>
      </c>
      <c r="G55">
        <f t="shared" si="14"/>
        <v>1272.8287845959203</v>
      </c>
      <c r="H55" s="2">
        <f t="shared" si="15"/>
        <v>-1089.3145644715883</v>
      </c>
      <c r="I55" s="2">
        <f t="shared" si="16"/>
        <v>1089.3145644715883</v>
      </c>
      <c r="J55" s="2">
        <f t="shared" si="18"/>
        <v>14574.28899378339</v>
      </c>
      <c r="L55" s="3">
        <f t="shared" si="17"/>
        <v>6.2632817627349388E-2</v>
      </c>
    </row>
    <row r="56" spans="1:12">
      <c r="A56">
        <f t="shared" si="11"/>
        <v>1826</v>
      </c>
      <c r="B56">
        <f t="shared" si="21"/>
        <v>475</v>
      </c>
      <c r="C56">
        <f t="shared" si="19"/>
        <v>360</v>
      </c>
      <c r="D56" s="2">
        <f t="shared" si="20"/>
        <v>964.68765559465521</v>
      </c>
      <c r="E56" s="2">
        <f t="shared" si="12"/>
        <v>307.44235556758622</v>
      </c>
      <c r="F56" s="2">
        <f t="shared" si="13"/>
        <v>1632.1300111622413</v>
      </c>
      <c r="G56">
        <f t="shared" si="14"/>
        <v>1324.6876555946551</v>
      </c>
      <c r="H56" s="2">
        <f t="shared" si="15"/>
        <v>-1157.1300111622413</v>
      </c>
      <c r="I56" s="2">
        <f t="shared" si="16"/>
        <v>1157.1300111622413</v>
      </c>
      <c r="J56" s="2">
        <f t="shared" si="18"/>
        <v>15372.11777837931</v>
      </c>
      <c r="L56" s="3">
        <f t="shared" si="17"/>
        <v>6.2755676836634453E-2</v>
      </c>
    </row>
    <row r="57" spans="1:12">
      <c r="A57">
        <f t="shared" si="11"/>
        <v>1827</v>
      </c>
      <c r="B57">
        <f t="shared" si="21"/>
        <v>475</v>
      </c>
      <c r="C57">
        <f t="shared" si="19"/>
        <v>360</v>
      </c>
      <c r="D57" s="2">
        <f t="shared" si="20"/>
        <v>1019.9173532083078</v>
      </c>
      <c r="E57" s="2">
        <f t="shared" si="12"/>
        <v>324.43610867947928</v>
      </c>
      <c r="F57" s="2">
        <f t="shared" si="13"/>
        <v>1704.353461887787</v>
      </c>
      <c r="G57">
        <f t="shared" si="14"/>
        <v>1379.9173532083078</v>
      </c>
      <c r="H57" s="2">
        <f t="shared" si="15"/>
        <v>-1229.353461887787</v>
      </c>
      <c r="I57" s="2">
        <f t="shared" si="16"/>
        <v>1229.353461887787</v>
      </c>
      <c r="J57" s="2">
        <f t="shared" si="18"/>
        <v>16221.805433973965</v>
      </c>
      <c r="L57" s="3">
        <f t="shared" si="17"/>
        <v>6.2873233029429307E-2</v>
      </c>
    </row>
    <row r="58" spans="1:12">
      <c r="A58">
        <f t="shared" si="11"/>
        <v>1828</v>
      </c>
      <c r="B58">
        <f t="shared" si="21"/>
        <v>475</v>
      </c>
      <c r="C58">
        <f t="shared" si="19"/>
        <v>360</v>
      </c>
      <c r="D58" s="2">
        <f t="shared" si="20"/>
        <v>1078.7369811668477</v>
      </c>
      <c r="E58" s="2">
        <f t="shared" si="12"/>
        <v>342.53445574364548</v>
      </c>
      <c r="F58" s="2">
        <f t="shared" si="13"/>
        <v>1781.2714369104933</v>
      </c>
      <c r="G58">
        <f t="shared" si="14"/>
        <v>1438.7369811668477</v>
      </c>
      <c r="H58" s="2">
        <f t="shared" si="15"/>
        <v>-1306.2714369104933</v>
      </c>
      <c r="I58" s="2">
        <f t="shared" si="16"/>
        <v>1306.2714369104933</v>
      </c>
      <c r="J58" s="2">
        <f t="shared" si="18"/>
        <v>17126.722787182272</v>
      </c>
      <c r="L58" s="3">
        <f t="shared" si="17"/>
        <v>6.2985604109513593E-2</v>
      </c>
    </row>
    <row r="59" spans="1:12">
      <c r="A59">
        <f t="shared" ref="A59:A88" si="22">A58+1</f>
        <v>1829</v>
      </c>
      <c r="B59">
        <f t="shared" si="21"/>
        <v>475</v>
      </c>
      <c r="C59">
        <f t="shared" si="19"/>
        <v>360</v>
      </c>
      <c r="D59" s="2">
        <f t="shared" si="20"/>
        <v>1141.379884942693</v>
      </c>
      <c r="E59" s="2">
        <f t="shared" si="12"/>
        <v>361.80919536698246</v>
      </c>
      <c r="F59" s="2">
        <f t="shared" si="13"/>
        <v>1863.1890803096755</v>
      </c>
      <c r="G59">
        <f t="shared" si="14"/>
        <v>1501.379884942693</v>
      </c>
      <c r="H59" s="2">
        <f t="shared" si="15"/>
        <v>-1388.1890803096755</v>
      </c>
      <c r="I59" s="2">
        <f t="shared" si="16"/>
        <v>1388.1890803096755</v>
      </c>
      <c r="J59" s="2">
        <f t="shared" si="18"/>
        <v>18090.459768349123</v>
      </c>
      <c r="L59" s="3">
        <f t="shared" si="17"/>
        <v>6.3092917458053732E-2</v>
      </c>
    </row>
    <row r="60" spans="1:12">
      <c r="A60">
        <f t="shared" si="22"/>
        <v>1830</v>
      </c>
      <c r="B60">
        <f t="shared" si="21"/>
        <v>475</v>
      </c>
      <c r="C60">
        <f t="shared" si="19"/>
        <v>360</v>
      </c>
      <c r="D60" s="2">
        <f t="shared" si="20"/>
        <v>1208.0945774639681</v>
      </c>
      <c r="E60" s="2">
        <f t="shared" si="12"/>
        <v>382.33679306583633</v>
      </c>
      <c r="F60" s="2">
        <f t="shared" si="13"/>
        <v>1950.4313705298046</v>
      </c>
      <c r="G60">
        <f t="shared" si="14"/>
        <v>1568.0945774639681</v>
      </c>
      <c r="H60" s="2">
        <f t="shared" si="15"/>
        <v>-1475.4313705298046</v>
      </c>
      <c r="I60" s="2">
        <f t="shared" si="16"/>
        <v>1475.4313705298046</v>
      </c>
      <c r="J60" s="2">
        <f t="shared" si="18"/>
        <v>19116.839653291816</v>
      </c>
      <c r="L60" s="3">
        <f t="shared" si="17"/>
        <v>6.3195308396905486E-2</v>
      </c>
    </row>
    <row r="61" spans="1:12">
      <c r="A61">
        <f t="shared" si="22"/>
        <v>1831</v>
      </c>
      <c r="B61">
        <f t="shared" si="21"/>
        <v>475</v>
      </c>
      <c r="C61">
        <f t="shared" si="19"/>
        <v>360</v>
      </c>
      <c r="D61" s="2">
        <f t="shared" si="20"/>
        <v>1279.1457249991261</v>
      </c>
      <c r="E61" s="2">
        <f t="shared" si="12"/>
        <v>404.19868461511572</v>
      </c>
      <c r="F61" s="2">
        <f t="shared" si="13"/>
        <v>2043.3444096142418</v>
      </c>
      <c r="G61">
        <f t="shared" si="14"/>
        <v>1639.1457249991261</v>
      </c>
      <c r="H61" s="2">
        <f t="shared" si="15"/>
        <v>-1568.3444096142418</v>
      </c>
      <c r="I61" s="2">
        <f t="shared" si="16"/>
        <v>1568.3444096142418</v>
      </c>
      <c r="J61" s="2">
        <f t="shared" si="18"/>
        <v>20209.934230755785</v>
      </c>
      <c r="L61" s="3">
        <f t="shared" si="17"/>
        <v>6.3292918739562373E-2</v>
      </c>
    </row>
    <row r="62" spans="1:12">
      <c r="A62">
        <f t="shared" si="22"/>
        <v>1832</v>
      </c>
      <c r="B62">
        <f t="shared" si="21"/>
        <v>475</v>
      </c>
      <c r="C62">
        <f t="shared" si="19"/>
        <v>360</v>
      </c>
      <c r="D62" s="2">
        <f t="shared" si="20"/>
        <v>1354.8151971240693</v>
      </c>
      <c r="E62" s="2">
        <f t="shared" si="12"/>
        <v>427.48159911509822</v>
      </c>
      <c r="F62" s="2">
        <f t="shared" si="13"/>
        <v>2142.2967962391676</v>
      </c>
      <c r="G62">
        <f t="shared" si="14"/>
        <v>1714.8151971240693</v>
      </c>
      <c r="H62" s="2">
        <f t="shared" si="15"/>
        <v>-1667.2967962391676</v>
      </c>
      <c r="I62" s="2">
        <f t="shared" si="16"/>
        <v>1667.2967962391676</v>
      </c>
      <c r="J62" s="2">
        <f t="shared" si="18"/>
        <v>21374.079955754911</v>
      </c>
      <c r="L62" s="3">
        <f t="shared" si="17"/>
        <v>6.3385895436368911E-2</v>
      </c>
    </row>
    <row r="63" spans="1:12">
      <c r="A63">
        <f t="shared" si="22"/>
        <v>1833</v>
      </c>
      <c r="B63">
        <f t="shared" si="21"/>
        <v>475</v>
      </c>
      <c r="C63">
        <f t="shared" si="19"/>
        <v>360</v>
      </c>
      <c r="D63" s="2">
        <f t="shared" si="20"/>
        <v>1435.4031849371338</v>
      </c>
      <c r="E63" s="2">
        <f t="shared" si="12"/>
        <v>452.27790305757964</v>
      </c>
      <c r="F63" s="2">
        <f t="shared" si="13"/>
        <v>2247.6810879947134</v>
      </c>
      <c r="G63">
        <f t="shared" si="14"/>
        <v>1795.4031849371338</v>
      </c>
      <c r="H63" s="2">
        <f t="shared" si="15"/>
        <v>-1772.6810879947134</v>
      </c>
      <c r="I63" s="2">
        <f t="shared" si="16"/>
        <v>1772.6810879947134</v>
      </c>
      <c r="J63" s="2">
        <f t="shared" si="18"/>
        <v>22613.89515287898</v>
      </c>
      <c r="L63" s="3">
        <f t="shared" si="17"/>
        <v>6.3474389318303362E-2</v>
      </c>
    </row>
    <row r="64" spans="1:12">
      <c r="A64">
        <f t="shared" si="22"/>
        <v>1834</v>
      </c>
      <c r="B64">
        <f t="shared" si="21"/>
        <v>475</v>
      </c>
      <c r="C64">
        <f t="shared" si="19"/>
        <v>360</v>
      </c>
      <c r="D64" s="2">
        <f t="shared" si="20"/>
        <v>1521.2293919580472</v>
      </c>
      <c r="E64" s="2">
        <f t="shared" si="12"/>
        <v>478.68596675632222</v>
      </c>
      <c r="F64" s="2">
        <f t="shared" si="13"/>
        <v>2359.9153587143696</v>
      </c>
      <c r="G64">
        <f t="shared" si="14"/>
        <v>1881.2293919580472</v>
      </c>
      <c r="H64" s="2">
        <f t="shared" si="15"/>
        <v>-1884.9153587143694</v>
      </c>
      <c r="I64" s="2">
        <f t="shared" si="16"/>
        <v>1884.9153587143694</v>
      </c>
      <c r="J64" s="2">
        <f t="shared" si="18"/>
        <v>23934.298337816112</v>
      </c>
      <c r="L64" s="3">
        <f t="shared" si="17"/>
        <v>6.3558553941583898E-2</v>
      </c>
    </row>
    <row r="65" spans="1:12">
      <c r="A65">
        <f t="shared" si="22"/>
        <v>1835</v>
      </c>
      <c r="B65">
        <f t="shared" si="21"/>
        <v>475</v>
      </c>
      <c r="C65">
        <f t="shared" si="19"/>
        <v>360</v>
      </c>
      <c r="D65" s="2">
        <f t="shared" si="20"/>
        <v>1612.6343024353205</v>
      </c>
      <c r="E65" s="2">
        <f t="shared" si="12"/>
        <v>506.81055459548321</v>
      </c>
      <c r="F65" s="2">
        <f t="shared" si="13"/>
        <v>2479.4448570308036</v>
      </c>
      <c r="G65">
        <f t="shared" si="14"/>
        <v>1972.6343024353205</v>
      </c>
      <c r="H65" s="2">
        <f t="shared" si="15"/>
        <v>-2004.4448570308036</v>
      </c>
      <c r="I65" s="2">
        <f t="shared" si="16"/>
        <v>2004.4448570308036</v>
      </c>
      <c r="J65" s="2">
        <f t="shared" si="18"/>
        <v>25340.52772977416</v>
      </c>
      <c r="L65" s="3">
        <f t="shared" si="17"/>
        <v>6.3638544533566932E-2</v>
      </c>
    </row>
    <row r="66" spans="1:12">
      <c r="A66">
        <f t="shared" si="22"/>
        <v>1836</v>
      </c>
      <c r="B66">
        <f t="shared" si="21"/>
        <v>475</v>
      </c>
      <c r="C66">
        <f t="shared" si="19"/>
        <v>360</v>
      </c>
      <c r="D66" s="2">
        <f t="shared" si="20"/>
        <v>1709.9805320936164</v>
      </c>
      <c r="E66" s="2">
        <f t="shared" si="12"/>
        <v>536.76324064418964</v>
      </c>
      <c r="F66" s="2">
        <f t="shared" si="13"/>
        <v>2606.7437727378065</v>
      </c>
      <c r="G66">
        <f t="shared" si="14"/>
        <v>2069.9805320936166</v>
      </c>
      <c r="H66" s="2">
        <f t="shared" si="15"/>
        <v>-2131.743772737806</v>
      </c>
      <c r="I66" s="2">
        <f t="shared" si="16"/>
        <v>2131.743772737806</v>
      </c>
      <c r="J66" s="2">
        <f t="shared" si="18"/>
        <v>26838.162032209482</v>
      </c>
      <c r="L66" s="3">
        <f t="shared" si="17"/>
        <v>6.3714517038886823E-2</v>
      </c>
    </row>
    <row r="67" spans="1:12">
      <c r="A67">
        <f t="shared" si="22"/>
        <v>1837</v>
      </c>
      <c r="B67">
        <f t="shared" si="21"/>
        <v>475</v>
      </c>
      <c r="C67">
        <f t="shared" si="19"/>
        <v>360</v>
      </c>
      <c r="D67" s="2">
        <f t="shared" si="20"/>
        <v>1813.6542666797015</v>
      </c>
      <c r="E67" s="2">
        <f t="shared" si="12"/>
        <v>568.66285128606205</v>
      </c>
      <c r="F67" s="2">
        <f t="shared" si="13"/>
        <v>2742.3171179657634</v>
      </c>
      <c r="G67">
        <f t="shared" si="14"/>
        <v>2173.6542666797013</v>
      </c>
      <c r="H67" s="2">
        <f t="shared" si="15"/>
        <v>-2267.3171179657638</v>
      </c>
      <c r="I67" s="2">
        <f t="shared" si="16"/>
        <v>2267.3171179657638</v>
      </c>
      <c r="J67" s="2">
        <f t="shared" si="18"/>
        <v>28433.1425643031</v>
      </c>
      <c r="L67" s="3">
        <f t="shared" si="17"/>
        <v>6.3786627263519108E-2</v>
      </c>
    </row>
    <row r="68" spans="1:12">
      <c r="A68">
        <f t="shared" si="22"/>
        <v>1838</v>
      </c>
      <c r="B68">
        <f t="shared" si="21"/>
        <v>475</v>
      </c>
      <c r="C68">
        <f t="shared" si="19"/>
        <v>360</v>
      </c>
      <c r="D68" s="2">
        <f t="shared" si="20"/>
        <v>1924.0667940138819</v>
      </c>
      <c r="E68" s="2">
        <f t="shared" ref="E68:E88" si="23">0.02*J68</f>
        <v>602.63593661965604</v>
      </c>
      <c r="F68" s="2">
        <f t="shared" ref="F68:F88" si="24">C68+D68+E68</f>
        <v>2886.7027306335381</v>
      </c>
      <c r="G68">
        <f t="shared" ref="G68:G88" si="25">C68+D68</f>
        <v>2284.0667940138819</v>
      </c>
      <c r="H68" s="2">
        <f t="shared" ref="H68:H88" si="26">B68-C68-D68-E68</f>
        <v>-2411.7027306335381</v>
      </c>
      <c r="I68" s="2">
        <f t="shared" ref="I68:I88" si="27">-H68</f>
        <v>2411.7027306335381</v>
      </c>
      <c r="J68" s="2">
        <f t="shared" si="18"/>
        <v>30131.796830982799</v>
      </c>
      <c r="L68" s="3">
        <f t="shared" ref="L68:L88" si="28">D68/J68</f>
        <v>6.3855030113420724E-2</v>
      </c>
    </row>
    <row r="69" spans="1:12">
      <c r="A69">
        <f t="shared" si="22"/>
        <v>1839</v>
      </c>
      <c r="B69">
        <f t="shared" si="21"/>
        <v>475</v>
      </c>
      <c r="C69">
        <f t="shared" si="19"/>
        <v>360</v>
      </c>
      <c r="D69" s="2">
        <f t="shared" si="20"/>
        <v>2041.6561356247844</v>
      </c>
      <c r="E69" s="2">
        <f t="shared" si="23"/>
        <v>638.81727249993367</v>
      </c>
      <c r="F69" s="2">
        <f t="shared" si="24"/>
        <v>3040.4734081247179</v>
      </c>
      <c r="G69">
        <f t="shared" si="25"/>
        <v>2401.6561356247844</v>
      </c>
      <c r="H69" s="2">
        <f t="shared" si="26"/>
        <v>-2565.4734081247179</v>
      </c>
      <c r="I69" s="2">
        <f t="shared" si="27"/>
        <v>2565.4734081247179</v>
      </c>
      <c r="J69" s="2">
        <f t="shared" ref="J69:J88" si="29">J68+I68-E68</f>
        <v>31940.86362499668</v>
      </c>
      <c r="L69" s="3">
        <f t="shared" si="28"/>
        <v>6.3919878923593021E-2</v>
      </c>
    </row>
    <row r="70" spans="1:12">
      <c r="A70">
        <f t="shared" si="22"/>
        <v>1840</v>
      </c>
      <c r="B70">
        <f t="shared" si="21"/>
        <v>475</v>
      </c>
      <c r="C70">
        <f t="shared" si="19"/>
        <v>360</v>
      </c>
      <c r="D70" s="2">
        <f t="shared" si="20"/>
        <v>2166.8887844403953</v>
      </c>
      <c r="E70" s="2">
        <f t="shared" si="23"/>
        <v>677.35039521242925</v>
      </c>
      <c r="F70" s="2">
        <f t="shared" si="24"/>
        <v>3204.2391796528245</v>
      </c>
      <c r="G70">
        <f t="shared" si="25"/>
        <v>2526.8887844403953</v>
      </c>
      <c r="H70" s="2">
        <f t="shared" si="26"/>
        <v>-2729.2391796528245</v>
      </c>
      <c r="I70" s="2">
        <f t="shared" si="27"/>
        <v>2729.2391796528245</v>
      </c>
      <c r="J70" s="2">
        <f t="shared" si="29"/>
        <v>33867.519760621464</v>
      </c>
      <c r="L70" s="3">
        <f t="shared" si="28"/>
        <v>6.3981324872802947E-2</v>
      </c>
    </row>
    <row r="71" spans="1:12">
      <c r="A71">
        <f t="shared" si="22"/>
        <v>1841</v>
      </c>
      <c r="B71">
        <f t="shared" si="21"/>
        <v>475</v>
      </c>
      <c r="C71">
        <f t="shared" si="19"/>
        <v>360</v>
      </c>
      <c r="D71" s="2">
        <f t="shared" si="20"/>
        <v>2300.261555429021</v>
      </c>
      <c r="E71" s="2">
        <f t="shared" si="23"/>
        <v>718.38817090123723</v>
      </c>
      <c r="F71" s="2">
        <f t="shared" si="24"/>
        <v>3378.6497263302581</v>
      </c>
      <c r="G71">
        <f t="shared" si="25"/>
        <v>2660.261555429021</v>
      </c>
      <c r="H71" s="2">
        <f t="shared" si="26"/>
        <v>-2903.6497263302581</v>
      </c>
      <c r="I71" s="2">
        <f t="shared" si="27"/>
        <v>2903.6497263302581</v>
      </c>
      <c r="J71" s="2">
        <f t="shared" si="29"/>
        <v>35919.408545061859</v>
      </c>
      <c r="L71" s="3">
        <f t="shared" si="28"/>
        <v>6.4039516478766101E-2</v>
      </c>
    </row>
    <row r="72" spans="1:12">
      <c r="A72">
        <f t="shared" si="22"/>
        <v>1842</v>
      </c>
      <c r="B72">
        <f t="shared" si="21"/>
        <v>475</v>
      </c>
      <c r="C72">
        <f t="shared" si="19"/>
        <v>360</v>
      </c>
      <c r="D72" s="2">
        <f t="shared" si="20"/>
        <v>2442.3035565319074</v>
      </c>
      <c r="E72" s="2">
        <f t="shared" si="23"/>
        <v>762.09340200981762</v>
      </c>
      <c r="F72" s="2">
        <f t="shared" si="24"/>
        <v>3564.3969585417249</v>
      </c>
      <c r="G72">
        <f t="shared" si="25"/>
        <v>2802.3035565319074</v>
      </c>
      <c r="H72" s="2">
        <f t="shared" si="26"/>
        <v>-3089.3969585417249</v>
      </c>
      <c r="I72" s="2">
        <f t="shared" si="27"/>
        <v>3089.3969585417249</v>
      </c>
      <c r="J72" s="2">
        <f t="shared" si="29"/>
        <v>38104.670100490883</v>
      </c>
      <c r="L72" s="3">
        <f t="shared" si="28"/>
        <v>6.4094599168316752E-2</v>
      </c>
    </row>
    <row r="73" spans="1:12">
      <c r="A73">
        <f t="shared" si="22"/>
        <v>1843</v>
      </c>
      <c r="B73">
        <f t="shared" si="21"/>
        <v>475</v>
      </c>
      <c r="C73">
        <f t="shared" si="19"/>
        <v>360</v>
      </c>
      <c r="D73" s="2">
        <f t="shared" si="20"/>
        <v>2593.5782877064812</v>
      </c>
      <c r="E73" s="2">
        <f t="shared" si="23"/>
        <v>808.63947314045572</v>
      </c>
      <c r="F73" s="2">
        <f t="shared" si="24"/>
        <v>3762.2177608469369</v>
      </c>
      <c r="G73">
        <f t="shared" si="25"/>
        <v>2953.5782877064812</v>
      </c>
      <c r="H73" s="2">
        <f t="shared" si="26"/>
        <v>-3287.2177608469369</v>
      </c>
      <c r="I73" s="2">
        <f t="shared" si="27"/>
        <v>3287.2177608469369</v>
      </c>
      <c r="J73" s="2">
        <f t="shared" si="29"/>
        <v>40431.973657022783</v>
      </c>
      <c r="L73" s="3">
        <f t="shared" si="28"/>
        <v>6.4146714916945263E-2</v>
      </c>
    </row>
    <row r="74" spans="1:12">
      <c r="A74">
        <f t="shared" si="22"/>
        <v>1844</v>
      </c>
      <c r="B74">
        <f t="shared" si="21"/>
        <v>475</v>
      </c>
      <c r="C74">
        <f t="shared" si="19"/>
        <v>360</v>
      </c>
      <c r="D74" s="2">
        <f t="shared" si="20"/>
        <v>2754.6858764074022</v>
      </c>
      <c r="E74" s="2">
        <f t="shared" si="23"/>
        <v>858.21103889458527</v>
      </c>
      <c r="F74" s="2">
        <f t="shared" si="24"/>
        <v>3972.8969153019875</v>
      </c>
      <c r="G74">
        <f t="shared" si="25"/>
        <v>3114.6858764074022</v>
      </c>
      <c r="H74" s="2">
        <f t="shared" si="26"/>
        <v>-3497.8969153019875</v>
      </c>
      <c r="I74" s="2">
        <f t="shared" si="27"/>
        <v>3497.8969153019875</v>
      </c>
      <c r="J74" s="2">
        <f t="shared" si="29"/>
        <v>42910.551944729261</v>
      </c>
      <c r="L74" s="3">
        <f t="shared" si="28"/>
        <v>6.4196001952050455E-2</v>
      </c>
    </row>
    <row r="75" spans="1:12">
      <c r="A75">
        <f t="shared" si="22"/>
        <v>1845</v>
      </c>
      <c r="B75">
        <f t="shared" si="21"/>
        <v>475</v>
      </c>
      <c r="C75">
        <f t="shared" si="19"/>
        <v>360</v>
      </c>
      <c r="D75" s="2">
        <f t="shared" si="20"/>
        <v>2926.2654583738831</v>
      </c>
      <c r="E75" s="2">
        <f t="shared" si="23"/>
        <v>911.00475642273318</v>
      </c>
      <c r="F75" s="2">
        <f t="shared" si="24"/>
        <v>4197.2702147966165</v>
      </c>
      <c r="G75">
        <f t="shared" si="25"/>
        <v>3286.2654583738831</v>
      </c>
      <c r="H75" s="2">
        <f t="shared" si="26"/>
        <v>-3722.2702147966165</v>
      </c>
      <c r="I75" s="2">
        <f t="shared" si="27"/>
        <v>3722.2702147966165</v>
      </c>
      <c r="J75" s="2">
        <f t="shared" si="29"/>
        <v>45550.237821136659</v>
      </c>
      <c r="L75" s="3">
        <f t="shared" si="28"/>
        <v>6.4242594514314688E-2</v>
      </c>
    </row>
    <row r="76" spans="1:12">
      <c r="A76">
        <f t="shared" si="22"/>
        <v>1846</v>
      </c>
      <c r="B76">
        <f t="shared" si="21"/>
        <v>475</v>
      </c>
      <c r="C76">
        <f t="shared" si="19"/>
        <v>360</v>
      </c>
      <c r="D76" s="2">
        <f t="shared" si="20"/>
        <v>3108.9977131681853</v>
      </c>
      <c r="E76" s="2">
        <f t="shared" si="23"/>
        <v>967.23006559021087</v>
      </c>
      <c r="F76" s="2">
        <f t="shared" si="24"/>
        <v>4436.2277787583962</v>
      </c>
      <c r="G76">
        <f t="shared" si="25"/>
        <v>3468.9977131681853</v>
      </c>
      <c r="H76" s="2">
        <f t="shared" si="26"/>
        <v>-3961.2277787583962</v>
      </c>
      <c r="I76" s="2">
        <f t="shared" si="27"/>
        <v>3961.2277787583962</v>
      </c>
      <c r="J76" s="2">
        <f t="shared" si="29"/>
        <v>48361.503279510544</v>
      </c>
      <c r="L76" s="3">
        <f t="shared" si="28"/>
        <v>6.4286622671743607E-2</v>
      </c>
    </row>
    <row r="77" spans="1:12">
      <c r="A77">
        <f t="shared" si="22"/>
        <v>1847</v>
      </c>
      <c r="B77">
        <f t="shared" si="21"/>
        <v>475</v>
      </c>
      <c r="C77">
        <f t="shared" si="19"/>
        <v>360</v>
      </c>
      <c r="D77" s="2">
        <f t="shared" si="20"/>
        <v>3303.6075645241176</v>
      </c>
      <c r="E77" s="2">
        <f t="shared" si="23"/>
        <v>1027.1100198535746</v>
      </c>
      <c r="F77" s="2">
        <f t="shared" si="24"/>
        <v>4690.7175843776922</v>
      </c>
      <c r="G77">
        <f t="shared" si="25"/>
        <v>3663.6075645241176</v>
      </c>
      <c r="H77" s="2">
        <f t="shared" si="26"/>
        <v>-4215.7175843776922</v>
      </c>
      <c r="I77" s="2">
        <f t="shared" si="27"/>
        <v>4215.7175843776922</v>
      </c>
      <c r="J77" s="2">
        <f t="shared" si="29"/>
        <v>51355.500992678732</v>
      </c>
      <c r="L77" s="3">
        <f t="shared" si="28"/>
        <v>6.4328212181107569E-2</v>
      </c>
    </row>
    <row r="78" spans="1:12">
      <c r="A78">
        <f t="shared" si="22"/>
        <v>1848</v>
      </c>
      <c r="B78">
        <f t="shared" si="21"/>
        <v>475</v>
      </c>
      <c r="C78">
        <f t="shared" si="19"/>
        <v>360</v>
      </c>
      <c r="D78" s="2">
        <f t="shared" si="20"/>
        <v>3510.8670562181856</v>
      </c>
      <c r="E78" s="2">
        <f t="shared" si="23"/>
        <v>1090.8821711440571</v>
      </c>
      <c r="F78" s="2">
        <f t="shared" si="24"/>
        <v>4961.7492273622429</v>
      </c>
      <c r="G78">
        <f t="shared" si="25"/>
        <v>3870.8670562181856</v>
      </c>
      <c r="H78" s="2">
        <f t="shared" si="26"/>
        <v>-4486.7492273622429</v>
      </c>
      <c r="I78" s="2">
        <f t="shared" si="27"/>
        <v>4486.7492273622429</v>
      </c>
      <c r="J78" s="2">
        <f t="shared" si="29"/>
        <v>54544.108557202853</v>
      </c>
      <c r="L78" s="3">
        <f t="shared" si="28"/>
        <v>6.4367484391759405E-2</v>
      </c>
    </row>
    <row r="79" spans="1:12">
      <c r="A79">
        <f t="shared" si="22"/>
        <v>1849</v>
      </c>
      <c r="B79">
        <f t="shared" si="21"/>
        <v>475</v>
      </c>
      <c r="C79">
        <f t="shared" ref="C79:C88" si="30">C78</f>
        <v>360</v>
      </c>
      <c r="D79" s="2">
        <f t="shared" si="20"/>
        <v>3731.5984148723678</v>
      </c>
      <c r="E79" s="2">
        <f t="shared" si="23"/>
        <v>1158.7995122684208</v>
      </c>
      <c r="F79" s="2">
        <f t="shared" si="24"/>
        <v>5250.3979271407889</v>
      </c>
      <c r="G79">
        <f t="shared" si="25"/>
        <v>4091.5984148723678</v>
      </c>
      <c r="H79" s="2">
        <f t="shared" si="26"/>
        <v>-4775.3979271407889</v>
      </c>
      <c r="I79" s="2">
        <f t="shared" si="27"/>
        <v>4775.3979271407889</v>
      </c>
      <c r="J79" s="2">
        <f t="shared" si="29"/>
        <v>57939.97561342104</v>
      </c>
      <c r="L79" s="3">
        <f t="shared" si="28"/>
        <v>6.4404556187075634E-2</v>
      </c>
    </row>
    <row r="80" spans="1:12">
      <c r="A80">
        <f t="shared" si="22"/>
        <v>1850</v>
      </c>
      <c r="B80">
        <f t="shared" si="21"/>
        <v>475</v>
      </c>
      <c r="C80">
        <f t="shared" si="30"/>
        <v>360</v>
      </c>
      <c r="D80" s="2">
        <f t="shared" ref="D80:D88" si="31">0.05*$J$8+IF(J80/J79&gt;1,$D$3,$D$2)*(J80-$J$8)</f>
        <v>3966.6773118390715</v>
      </c>
      <c r="E80" s="2">
        <f t="shared" si="23"/>
        <v>1231.1314805658681</v>
      </c>
      <c r="F80" s="2">
        <f t="shared" si="24"/>
        <v>5557.8087924049396</v>
      </c>
      <c r="G80">
        <f t="shared" si="25"/>
        <v>4326.677311839072</v>
      </c>
      <c r="H80" s="2">
        <f t="shared" si="26"/>
        <v>-5082.8087924049396</v>
      </c>
      <c r="I80" s="2">
        <f t="shared" si="27"/>
        <v>5082.8087924049396</v>
      </c>
      <c r="J80" s="2">
        <f t="shared" si="29"/>
        <v>61556.574028293406</v>
      </c>
      <c r="L80" s="3">
        <f t="shared" si="28"/>
        <v>6.4439539959060391E-2</v>
      </c>
    </row>
    <row r="81" spans="1:12">
      <c r="A81">
        <f t="shared" si="22"/>
        <v>1851</v>
      </c>
      <c r="B81">
        <f t="shared" si="21"/>
        <v>475</v>
      </c>
      <c r="C81">
        <f t="shared" si="30"/>
        <v>360</v>
      </c>
      <c r="D81" s="2">
        <f t="shared" si="31"/>
        <v>4217.0363371086114</v>
      </c>
      <c r="E81" s="2">
        <f t="shared" si="23"/>
        <v>1308.1650268026494</v>
      </c>
      <c r="F81" s="2">
        <f t="shared" si="24"/>
        <v>5885.2013639112611</v>
      </c>
      <c r="G81">
        <f t="shared" si="25"/>
        <v>4577.0363371086114</v>
      </c>
      <c r="H81" s="2">
        <f t="shared" si="26"/>
        <v>-5410.2013639112611</v>
      </c>
      <c r="I81" s="2">
        <f t="shared" si="27"/>
        <v>5410.2013639112611</v>
      </c>
      <c r="J81" s="2">
        <f t="shared" si="29"/>
        <v>65408.251340132476</v>
      </c>
      <c r="L81" s="3">
        <f t="shared" si="28"/>
        <v>6.4472543611958158E-2</v>
      </c>
    </row>
    <row r="82" spans="1:12">
      <c r="A82">
        <f t="shared" si="22"/>
        <v>1852</v>
      </c>
      <c r="B82">
        <f t="shared" si="21"/>
        <v>475</v>
      </c>
      <c r="C82">
        <f t="shared" si="30"/>
        <v>360</v>
      </c>
      <c r="D82" s="2">
        <f t="shared" si="31"/>
        <v>4483.6686990206717</v>
      </c>
      <c r="E82" s="2">
        <f t="shared" si="23"/>
        <v>1390.2057535448218</v>
      </c>
      <c r="F82" s="2">
        <f t="shared" si="24"/>
        <v>6233.8744525654938</v>
      </c>
      <c r="G82">
        <f t="shared" si="25"/>
        <v>4843.6686990206717</v>
      </c>
      <c r="H82" s="2">
        <f t="shared" si="26"/>
        <v>-5758.8744525654938</v>
      </c>
      <c r="I82" s="2">
        <f t="shared" si="27"/>
        <v>5758.8744525654938</v>
      </c>
      <c r="J82" s="2">
        <f t="shared" si="29"/>
        <v>69510.287677241096</v>
      </c>
      <c r="L82" s="3">
        <f t="shared" si="28"/>
        <v>6.4503670591032597E-2</v>
      </c>
    </row>
    <row r="83" spans="1:12">
      <c r="A83">
        <f t="shared" si="22"/>
        <v>1853</v>
      </c>
      <c r="B83">
        <f t="shared" ref="B83:B88" si="32">B82</f>
        <v>475</v>
      </c>
      <c r="C83">
        <f t="shared" si="30"/>
        <v>360</v>
      </c>
      <c r="D83" s="2">
        <f t="shared" si="31"/>
        <v>4767.6321644570144</v>
      </c>
      <c r="E83" s="2">
        <f t="shared" si="23"/>
        <v>1477.5791275252352</v>
      </c>
      <c r="F83" s="2">
        <f t="shared" si="24"/>
        <v>6605.2112919822493</v>
      </c>
      <c r="G83">
        <f t="shared" si="25"/>
        <v>5127.6321644570144</v>
      </c>
      <c r="H83" s="2">
        <f t="shared" si="26"/>
        <v>-6130.2112919822493</v>
      </c>
      <c r="I83" s="2">
        <f t="shared" si="27"/>
        <v>6130.2112919822493</v>
      </c>
      <c r="J83" s="2">
        <f t="shared" si="29"/>
        <v>73878.956376261762</v>
      </c>
      <c r="L83" s="3">
        <f t="shared" si="28"/>
        <v>6.4533019932979385E-2</v>
      </c>
    </row>
    <row r="84" spans="1:12">
      <c r="A84">
        <f t="shared" si="22"/>
        <v>1854</v>
      </c>
      <c r="B84">
        <f t="shared" si="32"/>
        <v>475</v>
      </c>
      <c r="C84">
        <f t="shared" si="30"/>
        <v>360</v>
      </c>
      <c r="D84" s="2">
        <f t="shared" si="31"/>
        <v>5070.0532551467204</v>
      </c>
      <c r="E84" s="2">
        <f t="shared" si="23"/>
        <v>1570.6317708143756</v>
      </c>
      <c r="F84" s="2">
        <f t="shared" si="24"/>
        <v>7000.6850259610965</v>
      </c>
      <c r="G84">
        <f t="shared" si="25"/>
        <v>5430.0532551467204</v>
      </c>
      <c r="H84" s="2">
        <f t="shared" si="26"/>
        <v>-6525.6850259610965</v>
      </c>
      <c r="I84" s="2">
        <f t="shared" si="27"/>
        <v>6525.6850259610965</v>
      </c>
      <c r="J84" s="2">
        <f t="shared" si="29"/>
        <v>78531.588540718774</v>
      </c>
      <c r="L84" s="3">
        <f t="shared" si="28"/>
        <v>6.4560686334746542E-2</v>
      </c>
    </row>
    <row r="85" spans="1:12">
      <c r="A85">
        <f t="shared" si="22"/>
        <v>1855</v>
      </c>
      <c r="B85">
        <f t="shared" si="32"/>
        <v>475</v>
      </c>
      <c r="C85">
        <f t="shared" si="30"/>
        <v>360</v>
      </c>
      <c r="D85" s="2">
        <f t="shared" si="31"/>
        <v>5392.1317167312573</v>
      </c>
      <c r="E85" s="2">
        <f t="shared" si="23"/>
        <v>1669.7328359173098</v>
      </c>
      <c r="F85" s="2">
        <f t="shared" si="24"/>
        <v>7421.864552648567</v>
      </c>
      <c r="G85">
        <f t="shared" si="25"/>
        <v>5752.1317167312573</v>
      </c>
      <c r="H85" s="2">
        <f t="shared" si="26"/>
        <v>-6946.864552648567</v>
      </c>
      <c r="I85" s="2">
        <f t="shared" si="27"/>
        <v>6946.864552648567</v>
      </c>
      <c r="J85" s="2">
        <f t="shared" si="29"/>
        <v>83486.641795865493</v>
      </c>
      <c r="L85" s="3">
        <f t="shared" si="28"/>
        <v>6.4586760237831151E-2</v>
      </c>
    </row>
    <row r="86" spans="1:12">
      <c r="A86">
        <f t="shared" si="22"/>
        <v>1856</v>
      </c>
      <c r="B86">
        <f t="shared" si="32"/>
        <v>475</v>
      </c>
      <c r="C86">
        <f t="shared" si="30"/>
        <v>360</v>
      </c>
      <c r="D86" s="2">
        <f t="shared" si="31"/>
        <v>5735.1452783187888</v>
      </c>
      <c r="E86" s="2">
        <f t="shared" si="23"/>
        <v>1775.2754702519348</v>
      </c>
      <c r="F86" s="2">
        <f t="shared" si="24"/>
        <v>7870.4207485707238</v>
      </c>
      <c r="G86">
        <f t="shared" si="25"/>
        <v>6095.1452783187888</v>
      </c>
      <c r="H86" s="2">
        <f t="shared" si="26"/>
        <v>-7395.4207485707238</v>
      </c>
      <c r="I86" s="2">
        <f t="shared" si="27"/>
        <v>7395.4207485707238</v>
      </c>
      <c r="J86" s="2">
        <f t="shared" si="29"/>
        <v>88763.773512596745</v>
      </c>
      <c r="L86" s="3">
        <f t="shared" si="28"/>
        <v>6.4611327925405249E-2</v>
      </c>
    </row>
    <row r="87" spans="1:12">
      <c r="A87">
        <f t="shared" si="22"/>
        <v>1857</v>
      </c>
      <c r="B87">
        <f t="shared" si="32"/>
        <v>475</v>
      </c>
      <c r="C87">
        <f t="shared" si="30"/>
        <v>360</v>
      </c>
      <c r="D87" s="2">
        <f t="shared" si="31"/>
        <v>6100.454721409511</v>
      </c>
      <c r="E87" s="2">
        <f t="shared" si="23"/>
        <v>1887.678375818311</v>
      </c>
      <c r="F87" s="2">
        <f t="shared" si="24"/>
        <v>8348.1330972278229</v>
      </c>
      <c r="G87">
        <f t="shared" si="25"/>
        <v>6460.454721409511</v>
      </c>
      <c r="H87" s="2">
        <f t="shared" si="26"/>
        <v>-7873.133097227822</v>
      </c>
      <c r="I87" s="2">
        <f t="shared" si="27"/>
        <v>7873.133097227822</v>
      </c>
      <c r="J87" s="2">
        <f t="shared" si="29"/>
        <v>94383.918790915544</v>
      </c>
      <c r="L87" s="3">
        <f t="shared" si="28"/>
        <v>6.4634471629892526E-2</v>
      </c>
    </row>
    <row r="88" spans="1:12">
      <c r="A88">
        <f t="shared" si="22"/>
        <v>1858</v>
      </c>
      <c r="B88">
        <f t="shared" si="32"/>
        <v>475</v>
      </c>
      <c r="C88">
        <f t="shared" si="30"/>
        <v>360</v>
      </c>
      <c r="D88" s="2">
        <f t="shared" si="31"/>
        <v>6489.5092783011287</v>
      </c>
      <c r="E88" s="2">
        <f t="shared" si="23"/>
        <v>2007.3874702465012</v>
      </c>
      <c r="F88" s="2">
        <f t="shared" si="24"/>
        <v>8856.8967485476296</v>
      </c>
      <c r="G88">
        <f t="shared" si="25"/>
        <v>6849.5092783011287</v>
      </c>
      <c r="H88" s="2">
        <f t="shared" si="26"/>
        <v>-8381.8967485476296</v>
      </c>
      <c r="I88" s="2">
        <f t="shared" si="27"/>
        <v>8381.8967485476296</v>
      </c>
      <c r="J88" s="2">
        <f t="shared" si="29"/>
        <v>100369.37351232505</v>
      </c>
      <c r="L88" s="3">
        <f t="shared" si="28"/>
        <v>6.465626964887089E-2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7"/>
  <sheetViews>
    <sheetView workbookViewId="0"/>
  </sheetViews>
  <sheetFormatPr defaultRowHeight="12.75"/>
  <sheetData>
    <row r="1" spans="1:16">
      <c r="A1" t="s">
        <v>107</v>
      </c>
      <c r="G1" t="s">
        <v>106</v>
      </c>
      <c r="L1" t="s">
        <v>105</v>
      </c>
    </row>
    <row r="2" spans="1:16">
      <c r="B2" t="s">
        <v>88</v>
      </c>
      <c r="C2" t="s">
        <v>92</v>
      </c>
      <c r="D2" t="s">
        <v>91</v>
      </c>
      <c r="E2" t="s">
        <v>90</v>
      </c>
      <c r="G2" t="s">
        <v>88</v>
      </c>
      <c r="H2" t="s">
        <v>92</v>
      </c>
      <c r="I2" t="s">
        <v>91</v>
      </c>
      <c r="J2" t="s">
        <v>90</v>
      </c>
      <c r="L2" t="s">
        <v>88</v>
      </c>
      <c r="M2" t="s">
        <v>92</v>
      </c>
      <c r="N2" t="s">
        <v>91</v>
      </c>
      <c r="O2" t="s">
        <v>90</v>
      </c>
    </row>
    <row r="3" spans="1:16">
      <c r="A3">
        <v>1770</v>
      </c>
      <c r="K3" t="s">
        <v>86</v>
      </c>
      <c r="P3" t="s">
        <v>86</v>
      </c>
    </row>
    <row r="4" spans="1:16">
      <c r="A4">
        <v>1771</v>
      </c>
      <c r="B4">
        <f t="shared" ref="B4:B16" si="0">(E4-C4)/0.045</f>
        <v>92.053954399946093</v>
      </c>
      <c r="C4">
        <f t="shared" ref="C4:C16" si="1">(E4-B5*0.045)/1.045</f>
        <v>0.49294855200242516</v>
      </c>
      <c r="D4">
        <f t="shared" ref="D4:D35" si="2">0.045*B4+0.23265</f>
        <v>4.3750779479975739</v>
      </c>
      <c r="E4">
        <v>4.6353764999999996</v>
      </c>
      <c r="F4">
        <f t="shared" ref="F4:F35" si="3">E4+0.01034*22.5</f>
        <v>4.8680264999999991</v>
      </c>
      <c r="G4">
        <v>48.534999999999997</v>
      </c>
      <c r="H4">
        <v>3.6</v>
      </c>
      <c r="I4">
        <f t="shared" ref="I4:I16" si="4">G4*0.045</f>
        <v>2.1840749999999995</v>
      </c>
      <c r="J4">
        <f t="shared" ref="J4:J15" si="5">H4+G4*0.045</f>
        <v>5.7840749999999996</v>
      </c>
      <c r="K4">
        <f t="shared" ref="K4:K15" si="6">J4</f>
        <v>5.7840749999999996</v>
      </c>
      <c r="L4">
        <f t="shared" ref="L4:L15" si="7">L5+M4</f>
        <v>74.7</v>
      </c>
      <c r="M4">
        <v>3</v>
      </c>
      <c r="N4">
        <f t="shared" ref="N4:N19" si="8">L4*0.05</f>
        <v>3.7350000000000003</v>
      </c>
      <c r="O4">
        <f t="shared" ref="O4:O18" si="9">M4+L4*0.05</f>
        <v>6.7350000000000003</v>
      </c>
      <c r="P4">
        <f t="shared" ref="P4:P17" si="10">O4</f>
        <v>6.7350000000000003</v>
      </c>
    </row>
    <row r="5" spans="1:16">
      <c r="A5">
        <v>1772</v>
      </c>
      <c r="B5">
        <f t="shared" si="0"/>
        <v>91.561005847943676</v>
      </c>
      <c r="C5">
        <f t="shared" si="1"/>
        <v>0.51513123684253426</v>
      </c>
      <c r="D5">
        <f t="shared" si="2"/>
        <v>4.3528952631574649</v>
      </c>
      <c r="E5">
        <v>4.6353764999999996</v>
      </c>
      <c r="F5">
        <f t="shared" si="3"/>
        <v>4.8680264999999991</v>
      </c>
      <c r="G5">
        <f t="shared" ref="G5:G16" si="11">G4-H4</f>
        <v>44.934999999999995</v>
      </c>
      <c r="H5">
        <v>3.6</v>
      </c>
      <c r="I5">
        <f t="shared" si="4"/>
        <v>2.0220749999999996</v>
      </c>
      <c r="J5">
        <f t="shared" si="5"/>
        <v>5.6220749999999997</v>
      </c>
      <c r="K5">
        <f t="shared" si="6"/>
        <v>5.6220749999999997</v>
      </c>
      <c r="L5">
        <f t="shared" si="7"/>
        <v>71.7</v>
      </c>
      <c r="M5">
        <v>3</v>
      </c>
      <c r="N5">
        <f t="shared" si="8"/>
        <v>3.5850000000000004</v>
      </c>
      <c r="O5">
        <f t="shared" si="9"/>
        <v>6.5850000000000009</v>
      </c>
      <c r="P5">
        <f t="shared" si="10"/>
        <v>6.5850000000000009</v>
      </c>
    </row>
    <row r="6" spans="1:16">
      <c r="A6">
        <v>1773</v>
      </c>
      <c r="B6">
        <f t="shared" si="0"/>
        <v>91.045874611101141</v>
      </c>
      <c r="C6">
        <f t="shared" si="1"/>
        <v>0.53831214250044834</v>
      </c>
      <c r="D6">
        <f t="shared" si="2"/>
        <v>4.3297143574995509</v>
      </c>
      <c r="E6">
        <v>4.6353764999999996</v>
      </c>
      <c r="F6">
        <f t="shared" si="3"/>
        <v>4.8680264999999991</v>
      </c>
      <c r="G6">
        <f t="shared" si="11"/>
        <v>41.334999999999994</v>
      </c>
      <c r="H6">
        <v>3.6</v>
      </c>
      <c r="I6">
        <f t="shared" si="4"/>
        <v>1.8600749999999997</v>
      </c>
      <c r="J6">
        <f t="shared" si="5"/>
        <v>5.4600749999999998</v>
      </c>
      <c r="K6">
        <f t="shared" si="6"/>
        <v>5.4600749999999998</v>
      </c>
      <c r="L6">
        <f t="shared" si="7"/>
        <v>68.7</v>
      </c>
      <c r="M6">
        <v>3</v>
      </c>
      <c r="N6">
        <f t="shared" si="8"/>
        <v>3.4350000000000005</v>
      </c>
      <c r="O6">
        <f t="shared" si="9"/>
        <v>6.4350000000000005</v>
      </c>
      <c r="P6">
        <f t="shared" si="10"/>
        <v>6.4350000000000005</v>
      </c>
    </row>
    <row r="7" spans="1:16">
      <c r="A7">
        <v>1774</v>
      </c>
      <c r="B7">
        <f t="shared" si="0"/>
        <v>90.507562468600696</v>
      </c>
      <c r="C7">
        <f t="shared" si="1"/>
        <v>0.56253618891296842</v>
      </c>
      <c r="D7">
        <f t="shared" si="2"/>
        <v>4.3054903110870306</v>
      </c>
      <c r="E7">
        <v>4.6353764999999996</v>
      </c>
      <c r="F7">
        <f t="shared" si="3"/>
        <v>4.8680264999999991</v>
      </c>
      <c r="G7">
        <f t="shared" si="11"/>
        <v>37.734999999999992</v>
      </c>
      <c r="H7">
        <v>3.6</v>
      </c>
      <c r="I7">
        <f t="shared" si="4"/>
        <v>1.6980749999999996</v>
      </c>
      <c r="J7">
        <f t="shared" si="5"/>
        <v>5.2980749999999999</v>
      </c>
      <c r="K7">
        <f t="shared" si="6"/>
        <v>5.2980749999999999</v>
      </c>
      <c r="L7">
        <f t="shared" si="7"/>
        <v>65.7</v>
      </c>
      <c r="M7">
        <v>3</v>
      </c>
      <c r="N7">
        <f t="shared" si="8"/>
        <v>3.2850000000000001</v>
      </c>
      <c r="O7">
        <f t="shared" si="9"/>
        <v>6.2850000000000001</v>
      </c>
      <c r="P7">
        <f t="shared" si="10"/>
        <v>6.2850000000000001</v>
      </c>
    </row>
    <row r="8" spans="1:16">
      <c r="A8">
        <v>1775</v>
      </c>
      <c r="B8">
        <f t="shared" si="0"/>
        <v>89.945026279687724</v>
      </c>
      <c r="C8">
        <f t="shared" si="1"/>
        <v>0.58785031741405203</v>
      </c>
      <c r="D8">
        <f t="shared" si="2"/>
        <v>4.2801761825859472</v>
      </c>
      <c r="E8">
        <v>4.6353764999999996</v>
      </c>
      <c r="F8">
        <f t="shared" si="3"/>
        <v>4.8680264999999991</v>
      </c>
      <c r="G8">
        <f t="shared" si="11"/>
        <v>34.134999999999991</v>
      </c>
      <c r="H8">
        <v>3.6</v>
      </c>
      <c r="I8">
        <f t="shared" si="4"/>
        <v>1.5360749999999996</v>
      </c>
      <c r="J8">
        <f t="shared" si="5"/>
        <v>5.1360749999999999</v>
      </c>
      <c r="K8">
        <f t="shared" si="6"/>
        <v>5.1360749999999999</v>
      </c>
      <c r="L8">
        <f t="shared" si="7"/>
        <v>62.7</v>
      </c>
      <c r="M8">
        <v>3</v>
      </c>
      <c r="N8">
        <f t="shared" si="8"/>
        <v>3.1350000000000002</v>
      </c>
      <c r="O8">
        <f t="shared" si="9"/>
        <v>6.1349999999999998</v>
      </c>
      <c r="P8">
        <f t="shared" si="10"/>
        <v>6.1349999999999998</v>
      </c>
    </row>
    <row r="9" spans="1:16">
      <c r="A9">
        <v>1776</v>
      </c>
      <c r="B9">
        <f t="shared" si="0"/>
        <v>89.357175962273672</v>
      </c>
      <c r="C9">
        <f t="shared" si="1"/>
        <v>0.61430358169768429</v>
      </c>
      <c r="D9">
        <f t="shared" si="2"/>
        <v>4.2537229183023149</v>
      </c>
      <c r="E9">
        <v>4.6353764999999996</v>
      </c>
      <c r="F9">
        <f t="shared" si="3"/>
        <v>4.8680264999999991</v>
      </c>
      <c r="G9">
        <f t="shared" si="11"/>
        <v>30.534999999999989</v>
      </c>
      <c r="H9">
        <v>3.6</v>
      </c>
      <c r="I9">
        <f t="shared" si="4"/>
        <v>1.3740749999999995</v>
      </c>
      <c r="J9">
        <f t="shared" si="5"/>
        <v>4.9740749999999991</v>
      </c>
      <c r="K9">
        <f t="shared" si="6"/>
        <v>4.9740749999999991</v>
      </c>
      <c r="L9">
        <f t="shared" si="7"/>
        <v>59.7</v>
      </c>
      <c r="M9">
        <v>3</v>
      </c>
      <c r="N9">
        <f t="shared" si="8"/>
        <v>2.9850000000000003</v>
      </c>
      <c r="O9">
        <f t="shared" si="9"/>
        <v>5.9850000000000003</v>
      </c>
      <c r="P9">
        <f t="shared" si="10"/>
        <v>5.9850000000000003</v>
      </c>
    </row>
    <row r="10" spans="1:16">
      <c r="A10">
        <v>1777</v>
      </c>
      <c r="B10">
        <f t="shared" si="0"/>
        <v>88.742872380575989</v>
      </c>
      <c r="C10">
        <f t="shared" si="1"/>
        <v>0.64194724287408023</v>
      </c>
      <c r="D10">
        <f t="shared" si="2"/>
        <v>4.2260792571259191</v>
      </c>
      <c r="E10">
        <v>4.6353764999999996</v>
      </c>
      <c r="F10">
        <f t="shared" si="3"/>
        <v>4.8680264999999991</v>
      </c>
      <c r="G10">
        <f t="shared" si="11"/>
        <v>26.934999999999988</v>
      </c>
      <c r="H10">
        <v>3.6</v>
      </c>
      <c r="I10">
        <f t="shared" si="4"/>
        <v>1.2120749999999993</v>
      </c>
      <c r="J10">
        <f t="shared" si="5"/>
        <v>4.8120749999999992</v>
      </c>
      <c r="K10">
        <f t="shared" si="6"/>
        <v>4.8120749999999992</v>
      </c>
      <c r="L10">
        <f t="shared" si="7"/>
        <v>56.7</v>
      </c>
      <c r="M10">
        <v>3</v>
      </c>
      <c r="N10">
        <f t="shared" si="8"/>
        <v>2.8350000000000004</v>
      </c>
      <c r="O10">
        <f t="shared" si="9"/>
        <v>5.8350000000000009</v>
      </c>
      <c r="P10">
        <f t="shared" si="10"/>
        <v>5.8350000000000009</v>
      </c>
    </row>
    <row r="11" spans="1:16">
      <c r="A11">
        <v>1778</v>
      </c>
      <c r="B11">
        <f t="shared" si="0"/>
        <v>88.100925137701907</v>
      </c>
      <c r="C11">
        <f t="shared" si="1"/>
        <v>0.6708348688034137</v>
      </c>
      <c r="D11">
        <f t="shared" si="2"/>
        <v>4.1971916311965858</v>
      </c>
      <c r="E11">
        <v>4.6353764999999996</v>
      </c>
      <c r="F11">
        <f t="shared" si="3"/>
        <v>4.8680264999999991</v>
      </c>
      <c r="G11">
        <f t="shared" si="11"/>
        <v>23.334999999999987</v>
      </c>
      <c r="H11">
        <v>3.6</v>
      </c>
      <c r="I11">
        <f t="shared" si="4"/>
        <v>1.0500749999999994</v>
      </c>
      <c r="J11">
        <f t="shared" si="5"/>
        <v>4.6500749999999993</v>
      </c>
      <c r="K11">
        <f t="shared" si="6"/>
        <v>4.6500749999999993</v>
      </c>
      <c r="L11">
        <f t="shared" si="7"/>
        <v>53.7</v>
      </c>
      <c r="M11">
        <v>3</v>
      </c>
      <c r="N11">
        <f t="shared" si="8"/>
        <v>2.6850000000000005</v>
      </c>
      <c r="O11">
        <f t="shared" si="9"/>
        <v>5.6850000000000005</v>
      </c>
      <c r="P11">
        <f t="shared" si="10"/>
        <v>5.6850000000000005</v>
      </c>
    </row>
    <row r="12" spans="1:16">
      <c r="A12">
        <v>1779</v>
      </c>
      <c r="B12">
        <f t="shared" si="0"/>
        <v>87.430090268898496</v>
      </c>
      <c r="C12">
        <f t="shared" si="1"/>
        <v>0.70102243789956731</v>
      </c>
      <c r="D12">
        <f t="shared" si="2"/>
        <v>4.1670040621004318</v>
      </c>
      <c r="E12">
        <v>4.6353764999999996</v>
      </c>
      <c r="F12">
        <f t="shared" si="3"/>
        <v>4.8680264999999991</v>
      </c>
      <c r="G12">
        <f t="shared" si="11"/>
        <v>19.734999999999985</v>
      </c>
      <c r="H12">
        <v>3.6</v>
      </c>
      <c r="I12">
        <f t="shared" si="4"/>
        <v>0.88807499999999928</v>
      </c>
      <c r="J12">
        <f t="shared" si="5"/>
        <v>4.4880749999999994</v>
      </c>
      <c r="K12">
        <f t="shared" si="6"/>
        <v>4.4880749999999994</v>
      </c>
      <c r="L12">
        <f t="shared" si="7"/>
        <v>50.7</v>
      </c>
      <c r="M12">
        <v>3</v>
      </c>
      <c r="N12">
        <f t="shared" si="8"/>
        <v>2.5350000000000001</v>
      </c>
      <c r="O12">
        <f t="shared" si="9"/>
        <v>5.5350000000000001</v>
      </c>
      <c r="P12">
        <f t="shared" si="10"/>
        <v>5.5350000000000001</v>
      </c>
    </row>
    <row r="13" spans="1:16">
      <c r="A13">
        <v>1780</v>
      </c>
      <c r="B13">
        <f t="shared" si="0"/>
        <v>86.729067830998929</v>
      </c>
      <c r="C13">
        <f t="shared" si="1"/>
        <v>0.7325684476050478</v>
      </c>
      <c r="D13">
        <f t="shared" si="2"/>
        <v>4.1354580523949513</v>
      </c>
      <c r="E13">
        <v>4.6353764999999996</v>
      </c>
      <c r="F13">
        <f t="shared" si="3"/>
        <v>4.8680264999999991</v>
      </c>
      <c r="G13">
        <f t="shared" si="11"/>
        <v>16.134999999999984</v>
      </c>
      <c r="H13">
        <v>3.6</v>
      </c>
      <c r="I13">
        <f t="shared" si="4"/>
        <v>0.72607499999999925</v>
      </c>
      <c r="J13">
        <f t="shared" si="5"/>
        <v>4.3260749999999994</v>
      </c>
      <c r="K13">
        <f t="shared" si="6"/>
        <v>4.3260749999999994</v>
      </c>
      <c r="L13">
        <f t="shared" si="7"/>
        <v>47.7</v>
      </c>
      <c r="M13">
        <v>3</v>
      </c>
      <c r="N13">
        <f t="shared" si="8"/>
        <v>2.3850000000000002</v>
      </c>
      <c r="O13">
        <f t="shared" si="9"/>
        <v>5.3849999999999998</v>
      </c>
      <c r="P13">
        <f t="shared" si="10"/>
        <v>5.3849999999999998</v>
      </c>
    </row>
    <row r="14" spans="1:16">
      <c r="A14">
        <v>1781</v>
      </c>
      <c r="B14">
        <f t="shared" si="0"/>
        <v>85.996499383393882</v>
      </c>
      <c r="C14">
        <f t="shared" si="1"/>
        <v>0.76553402774727519</v>
      </c>
      <c r="D14">
        <f t="shared" si="2"/>
        <v>4.1024924722527247</v>
      </c>
      <c r="E14">
        <v>4.6353764999999996</v>
      </c>
      <c r="F14">
        <f t="shared" si="3"/>
        <v>4.8680264999999991</v>
      </c>
      <c r="G14">
        <f t="shared" si="11"/>
        <v>12.534999999999984</v>
      </c>
      <c r="H14">
        <v>3.6</v>
      </c>
      <c r="I14">
        <f t="shared" si="4"/>
        <v>0.56407499999999922</v>
      </c>
      <c r="J14">
        <f t="shared" si="5"/>
        <v>4.1640749999999995</v>
      </c>
      <c r="K14">
        <f t="shared" si="6"/>
        <v>4.1640749999999995</v>
      </c>
      <c r="L14">
        <f t="shared" si="7"/>
        <v>44.7</v>
      </c>
      <c r="M14">
        <v>3</v>
      </c>
      <c r="N14">
        <f t="shared" si="8"/>
        <v>2.2350000000000003</v>
      </c>
      <c r="O14">
        <f t="shared" si="9"/>
        <v>5.2350000000000003</v>
      </c>
      <c r="P14">
        <f t="shared" si="10"/>
        <v>5.2350000000000003</v>
      </c>
    </row>
    <row r="15" spans="1:16">
      <c r="A15">
        <v>1782</v>
      </c>
      <c r="B15">
        <f t="shared" si="0"/>
        <v>85.230965355646603</v>
      </c>
      <c r="C15">
        <f t="shared" si="1"/>
        <v>0.79998305899590227</v>
      </c>
      <c r="D15">
        <f t="shared" si="2"/>
        <v>4.0680434410040966</v>
      </c>
      <c r="E15">
        <v>4.6353764999999996</v>
      </c>
      <c r="F15">
        <f t="shared" si="3"/>
        <v>4.8680264999999991</v>
      </c>
      <c r="G15">
        <f t="shared" si="11"/>
        <v>8.9349999999999845</v>
      </c>
      <c r="H15">
        <v>3.6</v>
      </c>
      <c r="I15">
        <f t="shared" si="4"/>
        <v>0.40207499999999929</v>
      </c>
      <c r="J15">
        <f t="shared" si="5"/>
        <v>4.0020749999999996</v>
      </c>
      <c r="K15">
        <f t="shared" si="6"/>
        <v>4.0020749999999996</v>
      </c>
      <c r="L15">
        <f t="shared" si="7"/>
        <v>41.7</v>
      </c>
      <c r="M15">
        <v>3</v>
      </c>
      <c r="N15">
        <f t="shared" si="8"/>
        <v>2.0850000000000004</v>
      </c>
      <c r="O15">
        <f t="shared" si="9"/>
        <v>5.0850000000000009</v>
      </c>
      <c r="P15">
        <f t="shared" si="10"/>
        <v>5.0850000000000009</v>
      </c>
    </row>
    <row r="16" spans="1:16">
      <c r="A16">
        <v>1783</v>
      </c>
      <c r="B16">
        <f t="shared" si="0"/>
        <v>84.430982296650711</v>
      </c>
      <c r="C16">
        <f t="shared" si="1"/>
        <v>0.83598229665071766</v>
      </c>
      <c r="D16">
        <f t="shared" si="2"/>
        <v>4.0320442033492814</v>
      </c>
      <c r="E16">
        <v>4.6353764999999996</v>
      </c>
      <c r="F16">
        <f t="shared" si="3"/>
        <v>4.8680264999999991</v>
      </c>
      <c r="G16">
        <f t="shared" si="11"/>
        <v>5.3349999999999849</v>
      </c>
      <c r="H16">
        <f>G16</f>
        <v>5.3349999999999849</v>
      </c>
      <c r="I16">
        <f t="shared" si="4"/>
        <v>0.24007499999999932</v>
      </c>
      <c r="J16">
        <f>G16*1.045</f>
        <v>5.575074999999984</v>
      </c>
      <c r="K16">
        <f>3.6+H16*0.045</f>
        <v>3.8400749999999992</v>
      </c>
      <c r="L16">
        <v>38.700000000000003</v>
      </c>
      <c r="M16">
        <v>3</v>
      </c>
      <c r="N16">
        <f t="shared" si="8"/>
        <v>1.9350000000000003</v>
      </c>
      <c r="O16">
        <f t="shared" si="9"/>
        <v>4.9350000000000005</v>
      </c>
      <c r="P16">
        <f t="shared" si="10"/>
        <v>4.9350000000000005</v>
      </c>
    </row>
    <row r="17" spans="1:16">
      <c r="A17">
        <v>1784</v>
      </c>
      <c r="B17">
        <f>B18+C17</f>
        <v>83.594999999999999</v>
      </c>
      <c r="C17">
        <v>0.875</v>
      </c>
      <c r="D17">
        <f t="shared" si="2"/>
        <v>3.9944249999999997</v>
      </c>
      <c r="E17">
        <f t="shared" ref="E17:E41" si="12">C17+0.045*B17</f>
        <v>4.6367750000000001</v>
      </c>
      <c r="F17">
        <f t="shared" si="3"/>
        <v>4.8694249999999997</v>
      </c>
      <c r="G17">
        <f>G16-3.6</f>
        <v>1.7349999999999848</v>
      </c>
      <c r="K17">
        <f>G17*1.045</f>
        <v>1.813074999999984</v>
      </c>
      <c r="L17">
        <f>L18+M17</f>
        <v>35.627000000000002</v>
      </c>
      <c r="M17">
        <v>3</v>
      </c>
      <c r="N17">
        <f t="shared" si="8"/>
        <v>1.7813500000000002</v>
      </c>
      <c r="O17">
        <f t="shared" si="9"/>
        <v>4.7813499999999998</v>
      </c>
      <c r="P17">
        <f t="shared" si="10"/>
        <v>4.7813499999999998</v>
      </c>
    </row>
    <row r="18" spans="1:16">
      <c r="A18">
        <v>1785</v>
      </c>
      <c r="B18">
        <f>B19+C18</f>
        <v>82.72</v>
      </c>
      <c r="C18">
        <v>0.91249999999999998</v>
      </c>
      <c r="D18">
        <f t="shared" si="2"/>
        <v>3.95505</v>
      </c>
      <c r="E18">
        <f t="shared" si="12"/>
        <v>4.6349</v>
      </c>
      <c r="F18">
        <f t="shared" si="3"/>
        <v>4.8675499999999996</v>
      </c>
      <c r="L18">
        <v>32.627000000000002</v>
      </c>
      <c r="M18">
        <f>3+17.683</f>
        <v>20.683</v>
      </c>
      <c r="N18">
        <f t="shared" si="8"/>
        <v>1.6313500000000003</v>
      </c>
      <c r="O18">
        <f t="shared" si="9"/>
        <v>22.314350000000001</v>
      </c>
      <c r="P18">
        <f t="shared" ref="P18:P27" si="13">3+L18*0.05</f>
        <v>4.6313500000000003</v>
      </c>
    </row>
    <row r="19" spans="1:16">
      <c r="A19">
        <v>1786</v>
      </c>
      <c r="B19">
        <f>B20+C19</f>
        <v>81.807500000000005</v>
      </c>
      <c r="C19">
        <v>0.95499999999999996</v>
      </c>
      <c r="D19">
        <f t="shared" si="2"/>
        <v>3.9139875000000002</v>
      </c>
      <c r="E19">
        <f t="shared" si="12"/>
        <v>4.6363374999999998</v>
      </c>
      <c r="F19">
        <f t="shared" si="3"/>
        <v>4.8689874999999994</v>
      </c>
      <c r="L19">
        <f t="shared" ref="L19:L28" si="14">L18-3</f>
        <v>29.627000000000002</v>
      </c>
      <c r="M19">
        <v>12.789</v>
      </c>
      <c r="N19">
        <f t="shared" si="8"/>
        <v>1.4813500000000002</v>
      </c>
      <c r="O19">
        <f>M19</f>
        <v>12.789</v>
      </c>
      <c r="P19">
        <f t="shared" si="13"/>
        <v>4.4813499999999999</v>
      </c>
    </row>
    <row r="20" spans="1:16">
      <c r="A20">
        <v>1787</v>
      </c>
      <c r="B20">
        <f>B21+C20</f>
        <v>80.852500000000006</v>
      </c>
      <c r="C20">
        <v>0.995</v>
      </c>
      <c r="D20">
        <f t="shared" si="2"/>
        <v>3.8710125</v>
      </c>
      <c r="E20">
        <f t="shared" si="12"/>
        <v>4.6333624999999996</v>
      </c>
      <c r="F20">
        <f t="shared" si="3"/>
        <v>4.8660124999999992</v>
      </c>
      <c r="L20">
        <f t="shared" si="14"/>
        <v>26.627000000000002</v>
      </c>
      <c r="P20">
        <f t="shared" si="13"/>
        <v>4.3313500000000005</v>
      </c>
    </row>
    <row r="21" spans="1:16">
      <c r="A21">
        <v>1788</v>
      </c>
      <c r="B21">
        <v>79.857500000000002</v>
      </c>
      <c r="C21">
        <v>1.0425</v>
      </c>
      <c r="D21">
        <f t="shared" si="2"/>
        <v>3.8262375</v>
      </c>
      <c r="E21">
        <f t="shared" si="12"/>
        <v>4.6360875000000004</v>
      </c>
      <c r="F21">
        <f t="shared" si="3"/>
        <v>4.8687374999999999</v>
      </c>
      <c r="L21">
        <f t="shared" si="14"/>
        <v>23.627000000000002</v>
      </c>
      <c r="P21">
        <f t="shared" si="13"/>
        <v>4.1813500000000001</v>
      </c>
    </row>
    <row r="22" spans="1:16">
      <c r="A22">
        <v>1789</v>
      </c>
      <c r="B22">
        <f t="shared" ref="B22:B54" si="15">B21-C21</f>
        <v>78.814999999999998</v>
      </c>
      <c r="C22">
        <v>1.0874999999999999</v>
      </c>
      <c r="D22">
        <f t="shared" si="2"/>
        <v>3.7793249999999996</v>
      </c>
      <c r="E22">
        <f t="shared" si="12"/>
        <v>4.634174999999999</v>
      </c>
      <c r="F22">
        <f t="shared" si="3"/>
        <v>4.8668249999999986</v>
      </c>
      <c r="L22">
        <f t="shared" si="14"/>
        <v>20.627000000000002</v>
      </c>
      <c r="P22">
        <f t="shared" si="13"/>
        <v>4.0313499999999998</v>
      </c>
    </row>
    <row r="23" spans="1:16">
      <c r="A23">
        <v>1790</v>
      </c>
      <c r="B23">
        <f t="shared" si="15"/>
        <v>77.727499999999992</v>
      </c>
      <c r="C23">
        <v>1.1375</v>
      </c>
      <c r="D23">
        <f t="shared" si="2"/>
        <v>3.7303874999999995</v>
      </c>
      <c r="E23">
        <f t="shared" si="12"/>
        <v>4.6352374999999997</v>
      </c>
      <c r="F23">
        <f t="shared" si="3"/>
        <v>4.8678874999999993</v>
      </c>
      <c r="L23">
        <f t="shared" si="14"/>
        <v>17.627000000000002</v>
      </c>
      <c r="P23">
        <f t="shared" si="13"/>
        <v>3.8813500000000003</v>
      </c>
    </row>
    <row r="24" spans="1:16">
      <c r="A24">
        <v>1791</v>
      </c>
      <c r="B24">
        <f t="shared" si="15"/>
        <v>76.589999999999989</v>
      </c>
      <c r="C24">
        <v>1.19</v>
      </c>
      <c r="D24">
        <f t="shared" si="2"/>
        <v>3.6791999999999994</v>
      </c>
      <c r="E24">
        <f t="shared" si="12"/>
        <v>4.6365499999999997</v>
      </c>
      <c r="F24">
        <f t="shared" si="3"/>
        <v>4.8691999999999993</v>
      </c>
      <c r="L24">
        <f t="shared" si="14"/>
        <v>14.627000000000002</v>
      </c>
      <c r="P24">
        <f t="shared" si="13"/>
        <v>3.7313499999999999</v>
      </c>
    </row>
    <row r="25" spans="1:16">
      <c r="A25">
        <v>1792</v>
      </c>
      <c r="B25">
        <f t="shared" si="15"/>
        <v>75.399999999999991</v>
      </c>
      <c r="C25">
        <v>1.2424999999999999</v>
      </c>
      <c r="D25">
        <f t="shared" si="2"/>
        <v>3.6256499999999994</v>
      </c>
      <c r="E25">
        <f t="shared" si="12"/>
        <v>4.6354999999999995</v>
      </c>
      <c r="F25">
        <f t="shared" si="3"/>
        <v>4.8681499999999991</v>
      </c>
      <c r="L25">
        <f t="shared" si="14"/>
        <v>11.627000000000002</v>
      </c>
      <c r="P25">
        <f t="shared" si="13"/>
        <v>3.58135</v>
      </c>
    </row>
    <row r="26" spans="1:16">
      <c r="A26">
        <v>1793</v>
      </c>
      <c r="B26">
        <f t="shared" si="15"/>
        <v>74.157499999999985</v>
      </c>
      <c r="C26">
        <v>1.2975000000000001</v>
      </c>
      <c r="D26">
        <f t="shared" si="2"/>
        <v>3.5697374999999991</v>
      </c>
      <c r="E26">
        <f t="shared" si="12"/>
        <v>4.6345874999999994</v>
      </c>
      <c r="F26">
        <f t="shared" si="3"/>
        <v>4.867237499999999</v>
      </c>
      <c r="L26">
        <f t="shared" si="14"/>
        <v>8.6270000000000024</v>
      </c>
      <c r="P26">
        <f t="shared" si="13"/>
        <v>3.4313500000000001</v>
      </c>
    </row>
    <row r="27" spans="1:16">
      <c r="A27">
        <v>1794</v>
      </c>
      <c r="B27">
        <f t="shared" si="15"/>
        <v>72.859999999999985</v>
      </c>
      <c r="C27">
        <v>1.3574999999999999</v>
      </c>
      <c r="D27">
        <f t="shared" si="2"/>
        <v>3.5113499999999993</v>
      </c>
      <c r="E27">
        <f t="shared" si="12"/>
        <v>4.6361999999999988</v>
      </c>
      <c r="F27">
        <f t="shared" si="3"/>
        <v>4.8688499999999983</v>
      </c>
      <c r="L27">
        <f t="shared" si="14"/>
        <v>5.6270000000000024</v>
      </c>
      <c r="P27">
        <f t="shared" si="13"/>
        <v>3.2813500000000002</v>
      </c>
    </row>
    <row r="28" spans="1:16">
      <c r="A28">
        <v>1795</v>
      </c>
      <c r="B28">
        <f t="shared" si="15"/>
        <v>71.502499999999984</v>
      </c>
      <c r="C28">
        <v>1.4175</v>
      </c>
      <c r="D28">
        <f t="shared" si="2"/>
        <v>3.4502624999999991</v>
      </c>
      <c r="E28">
        <f t="shared" si="12"/>
        <v>4.6351124999999991</v>
      </c>
      <c r="F28">
        <f t="shared" si="3"/>
        <v>4.8677624999999987</v>
      </c>
      <c r="L28">
        <f t="shared" si="14"/>
        <v>2.6270000000000024</v>
      </c>
      <c r="P28">
        <f>L28*1.05</f>
        <v>2.7583500000000027</v>
      </c>
    </row>
    <row r="29" spans="1:16">
      <c r="A29">
        <v>1796</v>
      </c>
      <c r="B29">
        <f t="shared" si="15"/>
        <v>70.08499999999998</v>
      </c>
      <c r="C29">
        <v>1.48</v>
      </c>
      <c r="D29">
        <f t="shared" si="2"/>
        <v>3.386474999999999</v>
      </c>
      <c r="E29">
        <f t="shared" si="12"/>
        <v>4.633824999999999</v>
      </c>
      <c r="F29">
        <f t="shared" si="3"/>
        <v>4.8664749999999986</v>
      </c>
    </row>
    <row r="30" spans="1:16">
      <c r="A30">
        <v>1797</v>
      </c>
      <c r="B30">
        <f t="shared" si="15"/>
        <v>68.604999999999976</v>
      </c>
      <c r="C30">
        <v>1.55</v>
      </c>
      <c r="D30">
        <f t="shared" si="2"/>
        <v>3.3198749999999988</v>
      </c>
      <c r="E30">
        <f t="shared" si="12"/>
        <v>4.637224999999999</v>
      </c>
      <c r="F30">
        <f t="shared" si="3"/>
        <v>4.8698749999999986</v>
      </c>
    </row>
    <row r="31" spans="1:16">
      <c r="A31">
        <v>1798</v>
      </c>
      <c r="B31">
        <f t="shared" si="15"/>
        <v>67.054999999999978</v>
      </c>
      <c r="C31">
        <v>1.6174999999999999</v>
      </c>
      <c r="D31">
        <f t="shared" si="2"/>
        <v>3.2501249999999988</v>
      </c>
      <c r="E31">
        <f t="shared" si="12"/>
        <v>4.634974999999999</v>
      </c>
      <c r="F31">
        <f t="shared" si="3"/>
        <v>4.8676249999999985</v>
      </c>
    </row>
    <row r="32" spans="1:16">
      <c r="A32">
        <v>1799</v>
      </c>
      <c r="B32">
        <f t="shared" si="15"/>
        <v>65.437499999999972</v>
      </c>
      <c r="C32">
        <v>1.69</v>
      </c>
      <c r="D32">
        <f t="shared" si="2"/>
        <v>3.1773374999999988</v>
      </c>
      <c r="E32">
        <f t="shared" si="12"/>
        <v>4.6346874999999983</v>
      </c>
      <c r="F32">
        <f t="shared" si="3"/>
        <v>4.8673374999999979</v>
      </c>
    </row>
    <row r="33" spans="1:6">
      <c r="A33">
        <v>1800</v>
      </c>
      <c r="B33">
        <f t="shared" si="15"/>
        <v>63.747499999999974</v>
      </c>
      <c r="C33">
        <v>1.7675000000000001</v>
      </c>
      <c r="D33">
        <f t="shared" si="2"/>
        <v>3.1012874999999989</v>
      </c>
      <c r="E33">
        <f t="shared" si="12"/>
        <v>4.6361374999999985</v>
      </c>
      <c r="F33">
        <f t="shared" si="3"/>
        <v>4.868787499999998</v>
      </c>
    </row>
    <row r="34" spans="1:6">
      <c r="A34">
        <v>1801</v>
      </c>
      <c r="B34">
        <f t="shared" si="15"/>
        <v>61.979999999999976</v>
      </c>
      <c r="C34">
        <v>1.845</v>
      </c>
      <c r="D34">
        <f t="shared" si="2"/>
        <v>3.0217499999999986</v>
      </c>
      <c r="E34">
        <f t="shared" si="12"/>
        <v>4.6340999999999983</v>
      </c>
      <c r="F34">
        <f t="shared" si="3"/>
        <v>4.8667499999999979</v>
      </c>
    </row>
    <row r="35" spans="1:6">
      <c r="A35">
        <v>1802</v>
      </c>
      <c r="B35">
        <f t="shared" si="15"/>
        <v>60.134999999999977</v>
      </c>
      <c r="C35">
        <v>1.93</v>
      </c>
      <c r="D35">
        <f t="shared" si="2"/>
        <v>2.9387249999999989</v>
      </c>
      <c r="E35">
        <f t="shared" si="12"/>
        <v>4.6360749999999991</v>
      </c>
      <c r="F35">
        <f t="shared" si="3"/>
        <v>4.8687249999999986</v>
      </c>
    </row>
    <row r="36" spans="1:6">
      <c r="A36">
        <v>1803</v>
      </c>
      <c r="B36">
        <f t="shared" si="15"/>
        <v>58.204999999999977</v>
      </c>
      <c r="C36">
        <v>2.0150000000000001</v>
      </c>
      <c r="D36">
        <f t="shared" ref="D36:D57" si="16">0.045*B36+0.23265</f>
        <v>2.8518749999999988</v>
      </c>
      <c r="E36">
        <f t="shared" si="12"/>
        <v>4.6342249999999989</v>
      </c>
      <c r="F36">
        <f t="shared" ref="F36:F57" si="17">E36+0.01034*22.5</f>
        <v>4.8668749999999985</v>
      </c>
    </row>
    <row r="37" spans="1:6">
      <c r="A37">
        <v>1804</v>
      </c>
      <c r="B37">
        <f t="shared" si="15"/>
        <v>56.189999999999976</v>
      </c>
      <c r="C37">
        <v>2.1074999999999999</v>
      </c>
      <c r="D37">
        <f t="shared" si="16"/>
        <v>2.7611999999999988</v>
      </c>
      <c r="E37">
        <f t="shared" si="12"/>
        <v>4.6360499999999991</v>
      </c>
      <c r="F37">
        <f t="shared" si="17"/>
        <v>4.8686999999999987</v>
      </c>
    </row>
    <row r="38" spans="1:6">
      <c r="A38">
        <v>1805</v>
      </c>
      <c r="B38">
        <f t="shared" si="15"/>
        <v>54.082499999999975</v>
      </c>
      <c r="C38">
        <v>2.2025000000000001</v>
      </c>
      <c r="D38">
        <f t="shared" si="16"/>
        <v>2.6663624999999986</v>
      </c>
      <c r="E38">
        <f t="shared" si="12"/>
        <v>4.6362124999999992</v>
      </c>
      <c r="F38">
        <f t="shared" si="17"/>
        <v>4.8688624999999988</v>
      </c>
    </row>
    <row r="39" spans="1:6">
      <c r="A39">
        <v>1806</v>
      </c>
      <c r="B39">
        <f t="shared" si="15"/>
        <v>51.879999999999974</v>
      </c>
      <c r="C39">
        <v>2.2999999999999998</v>
      </c>
      <c r="D39">
        <f t="shared" si="16"/>
        <v>2.5672499999999987</v>
      </c>
      <c r="E39">
        <f t="shared" si="12"/>
        <v>4.6345999999999989</v>
      </c>
      <c r="F39">
        <f t="shared" si="17"/>
        <v>4.8672499999999985</v>
      </c>
    </row>
    <row r="40" spans="1:6">
      <c r="A40">
        <v>1807</v>
      </c>
      <c r="B40">
        <f t="shared" si="15"/>
        <v>49.579999999999977</v>
      </c>
      <c r="C40">
        <v>2.4049999999999998</v>
      </c>
      <c r="D40">
        <f t="shared" si="16"/>
        <v>2.4637499999999988</v>
      </c>
      <c r="E40">
        <f t="shared" si="12"/>
        <v>4.636099999999999</v>
      </c>
      <c r="F40">
        <f t="shared" si="17"/>
        <v>4.8687499999999986</v>
      </c>
    </row>
    <row r="41" spans="1:6">
      <c r="A41">
        <v>1808</v>
      </c>
      <c r="B41">
        <f t="shared" si="15"/>
        <v>47.174999999999976</v>
      </c>
      <c r="C41">
        <v>2.5125000000000002</v>
      </c>
      <c r="D41">
        <f t="shared" si="16"/>
        <v>2.3555249999999988</v>
      </c>
      <c r="E41">
        <f t="shared" si="12"/>
        <v>4.6353749999999989</v>
      </c>
      <c r="F41">
        <f t="shared" si="17"/>
        <v>4.8680249999999985</v>
      </c>
    </row>
    <row r="42" spans="1:6">
      <c r="A42">
        <v>1809</v>
      </c>
      <c r="B42">
        <f t="shared" si="15"/>
        <v>44.662499999999973</v>
      </c>
      <c r="C42">
        <f t="shared" ref="C42:C53" si="18">E42-B42*0.045</f>
        <v>2.6255640000000007</v>
      </c>
      <c r="D42">
        <f t="shared" si="16"/>
        <v>2.2424624999999989</v>
      </c>
      <c r="E42">
        <v>4.6353764999999996</v>
      </c>
      <c r="F42">
        <f t="shared" si="17"/>
        <v>4.8680264999999991</v>
      </c>
    </row>
    <row r="43" spans="1:6">
      <c r="A43">
        <v>1810</v>
      </c>
      <c r="B43">
        <f t="shared" si="15"/>
        <v>42.036935999999969</v>
      </c>
      <c r="C43">
        <f t="shared" si="18"/>
        <v>2.743714380000001</v>
      </c>
      <c r="D43">
        <f t="shared" si="16"/>
        <v>2.1243121199999986</v>
      </c>
      <c r="E43">
        <v>4.6353764999999996</v>
      </c>
      <c r="F43">
        <f t="shared" si="17"/>
        <v>4.8680264999999991</v>
      </c>
    </row>
    <row r="44" spans="1:6">
      <c r="A44">
        <v>1811</v>
      </c>
      <c r="B44">
        <f t="shared" si="15"/>
        <v>39.293221619999969</v>
      </c>
      <c r="C44">
        <f t="shared" si="18"/>
        <v>2.867181527100001</v>
      </c>
      <c r="D44">
        <f t="shared" si="16"/>
        <v>2.0008449728999986</v>
      </c>
      <c r="E44">
        <v>4.6353764999999996</v>
      </c>
      <c r="F44">
        <f t="shared" si="17"/>
        <v>4.8680264999999991</v>
      </c>
    </row>
    <row r="45" spans="1:6">
      <c r="A45">
        <v>1812</v>
      </c>
      <c r="B45">
        <f t="shared" si="15"/>
        <v>36.426040092899967</v>
      </c>
      <c r="C45">
        <f t="shared" si="18"/>
        <v>2.9962046958195012</v>
      </c>
      <c r="D45">
        <f t="shared" si="16"/>
        <v>1.8718218041804986</v>
      </c>
      <c r="E45">
        <v>4.6353764999999996</v>
      </c>
      <c r="F45">
        <f t="shared" si="17"/>
        <v>4.8680264999999991</v>
      </c>
    </row>
    <row r="46" spans="1:6">
      <c r="A46">
        <v>1813</v>
      </c>
      <c r="B46">
        <f t="shared" si="15"/>
        <v>33.429835397080467</v>
      </c>
      <c r="C46">
        <f t="shared" si="18"/>
        <v>3.1310339071313784</v>
      </c>
      <c r="D46">
        <f t="shared" si="16"/>
        <v>1.736992592868621</v>
      </c>
      <c r="E46">
        <v>4.6353764999999996</v>
      </c>
      <c r="F46">
        <f t="shared" si="17"/>
        <v>4.8680264999999991</v>
      </c>
    </row>
    <row r="47" spans="1:6">
      <c r="A47">
        <v>1814</v>
      </c>
      <c r="B47">
        <f t="shared" si="15"/>
        <v>30.298801489949089</v>
      </c>
      <c r="C47">
        <f t="shared" si="18"/>
        <v>3.2719304329522907</v>
      </c>
      <c r="D47">
        <f t="shared" si="16"/>
        <v>1.5960960670477089</v>
      </c>
      <c r="E47">
        <v>4.6353764999999996</v>
      </c>
      <c r="F47">
        <f t="shared" si="17"/>
        <v>4.8680264999999991</v>
      </c>
    </row>
    <row r="48" spans="1:6">
      <c r="A48">
        <v>1815</v>
      </c>
      <c r="B48">
        <f t="shared" si="15"/>
        <v>27.026871056996796</v>
      </c>
      <c r="C48">
        <f t="shared" si="18"/>
        <v>3.4191673024351434</v>
      </c>
      <c r="D48">
        <f t="shared" si="16"/>
        <v>1.4488591975648559</v>
      </c>
      <c r="E48">
        <v>4.6353764999999996</v>
      </c>
      <c r="F48">
        <f t="shared" si="17"/>
        <v>4.8680264999999991</v>
      </c>
    </row>
    <row r="49" spans="1:6">
      <c r="A49">
        <v>1816</v>
      </c>
      <c r="B49">
        <f t="shared" si="15"/>
        <v>23.607703754561655</v>
      </c>
      <c r="C49">
        <f t="shared" si="18"/>
        <v>3.573029831044725</v>
      </c>
      <c r="D49">
        <f t="shared" si="16"/>
        <v>1.2949966689552745</v>
      </c>
      <c r="E49">
        <v>4.6353764999999996</v>
      </c>
      <c r="F49">
        <f t="shared" si="17"/>
        <v>4.8680264999999991</v>
      </c>
    </row>
    <row r="50" spans="1:6">
      <c r="A50">
        <v>1817</v>
      </c>
      <c r="B50">
        <f t="shared" si="15"/>
        <v>20.03467392351693</v>
      </c>
      <c r="C50">
        <f t="shared" si="18"/>
        <v>3.7338161734417379</v>
      </c>
      <c r="D50">
        <f t="shared" si="16"/>
        <v>1.1342103265582617</v>
      </c>
      <c r="E50">
        <v>4.6353764999999996</v>
      </c>
      <c r="F50">
        <f t="shared" si="17"/>
        <v>4.8680264999999991</v>
      </c>
    </row>
    <row r="51" spans="1:6">
      <c r="A51">
        <v>1818</v>
      </c>
      <c r="B51">
        <f t="shared" si="15"/>
        <v>16.300857750075192</v>
      </c>
      <c r="C51">
        <f t="shared" si="18"/>
        <v>3.901837901246616</v>
      </c>
      <c r="D51">
        <f t="shared" si="16"/>
        <v>0.96618859875338359</v>
      </c>
      <c r="E51">
        <v>4.6353764999999996</v>
      </c>
      <c r="F51">
        <f t="shared" si="17"/>
        <v>4.8680264999999991</v>
      </c>
    </row>
    <row r="52" spans="1:6">
      <c r="A52">
        <v>1819</v>
      </c>
      <c r="B52">
        <f t="shared" si="15"/>
        <v>12.399019848828576</v>
      </c>
      <c r="C52">
        <f t="shared" si="18"/>
        <v>4.0774206068027139</v>
      </c>
      <c r="D52">
        <f t="shared" si="16"/>
        <v>0.79060589319728591</v>
      </c>
      <c r="E52">
        <v>4.6353764999999996</v>
      </c>
      <c r="F52">
        <f t="shared" si="17"/>
        <v>4.8680264999999991</v>
      </c>
    </row>
    <row r="53" spans="1:6">
      <c r="A53">
        <v>1820</v>
      </c>
      <c r="B53">
        <f t="shared" si="15"/>
        <v>8.3215992420258615</v>
      </c>
      <c r="C53">
        <f t="shared" si="18"/>
        <v>4.2609045341088354</v>
      </c>
      <c r="D53">
        <f t="shared" si="16"/>
        <v>0.60712196589116374</v>
      </c>
      <c r="E53">
        <v>4.6353764999999996</v>
      </c>
      <c r="F53">
        <f t="shared" si="17"/>
        <v>4.8680264999999991</v>
      </c>
    </row>
    <row r="54" spans="1:6">
      <c r="A54">
        <v>1821</v>
      </c>
      <c r="B54">
        <f t="shared" si="15"/>
        <v>4.0606947079170261</v>
      </c>
      <c r="C54">
        <f>B54</f>
        <v>4.0606947079170261</v>
      </c>
      <c r="D54">
        <f t="shared" si="16"/>
        <v>0.41538126185626617</v>
      </c>
      <c r="E54">
        <f>C54*1.045</f>
        <v>4.2434259697732921</v>
      </c>
      <c r="F54">
        <f t="shared" si="17"/>
        <v>4.4760759697732917</v>
      </c>
    </row>
    <row r="55" spans="1:6">
      <c r="A55">
        <v>1822</v>
      </c>
      <c r="D55">
        <f t="shared" si="16"/>
        <v>0.23265</v>
      </c>
      <c r="F55">
        <f t="shared" si="17"/>
        <v>0.23265</v>
      </c>
    </row>
    <row r="56" spans="1:6">
      <c r="A56">
        <v>1823</v>
      </c>
      <c r="D56">
        <f t="shared" si="16"/>
        <v>0.23265</v>
      </c>
      <c r="F56">
        <f t="shared" si="17"/>
        <v>0.23265</v>
      </c>
    </row>
    <row r="57" spans="1:6">
      <c r="A57">
        <v>1824</v>
      </c>
      <c r="D57">
        <f t="shared" si="16"/>
        <v>0.23265</v>
      </c>
      <c r="F57">
        <f t="shared" si="17"/>
        <v>0.23265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77"/>
  <sheetViews>
    <sheetView workbookViewId="0"/>
  </sheetViews>
  <sheetFormatPr defaultRowHeight="12.75"/>
  <sheetData>
    <row r="1" spans="1:15">
      <c r="B1" t="s">
        <v>16</v>
      </c>
      <c r="C1" t="s">
        <v>8</v>
      </c>
      <c r="D1" t="s">
        <v>125</v>
      </c>
      <c r="E1" t="s">
        <v>124</v>
      </c>
      <c r="F1" t="s">
        <v>123</v>
      </c>
      <c r="G1" t="s">
        <v>122</v>
      </c>
      <c r="H1" t="s">
        <v>128</v>
      </c>
      <c r="I1" t="s">
        <v>127</v>
      </c>
      <c r="J1" t="s">
        <v>58</v>
      </c>
      <c r="K1" t="s">
        <v>121</v>
      </c>
      <c r="L1" t="s">
        <v>120</v>
      </c>
      <c r="M1" t="s">
        <v>119</v>
      </c>
      <c r="N1" t="s">
        <v>118</v>
      </c>
      <c r="O1" t="s">
        <v>117</v>
      </c>
    </row>
    <row r="4" spans="1:15">
      <c r="A4">
        <v>1774</v>
      </c>
      <c r="B4">
        <f>B5*1.02</f>
        <v>44.541232128466959</v>
      </c>
      <c r="C4">
        <v>50.010458999999997</v>
      </c>
      <c r="D4">
        <f>18*0.11+12*0.12+3.4*0.105+6*0.14+0.75*0.07+7.6*0.04+25.424*0.043+9*0.05+17.985*0.04+0.1336*60+32.66*0.043</f>
        <v>16.656511999999999</v>
      </c>
      <c r="E4">
        <v>0</v>
      </c>
      <c r="F4">
        <v>0</v>
      </c>
      <c r="G4">
        <v>1.78037241904515</v>
      </c>
      <c r="H4">
        <v>9.6348930610870305</v>
      </c>
      <c r="I4">
        <v>3.78</v>
      </c>
      <c r="J4">
        <f t="shared" ref="J4:J35" si="0">SUM(B4:I4)</f>
        <v>126.40346860859913</v>
      </c>
      <c r="K4">
        <f t="shared" ref="K4:K35" si="1">SUM(B4:C4)</f>
        <v>94.551691128466956</v>
      </c>
    </row>
    <row r="5" spans="1:15">
      <c r="A5">
        <v>1775</v>
      </c>
      <c r="B5">
        <f>B6*1.02</f>
        <v>43.667874635751922</v>
      </c>
      <c r="C5">
        <v>50.522458999999998</v>
      </c>
      <c r="D5">
        <f>D4+4*0.11-0.1*0.07-2.4/9*0.04</f>
        <v>17.078845333333334</v>
      </c>
      <c r="E5">
        <v>0</v>
      </c>
      <c r="F5">
        <v>0</v>
      </c>
      <c r="G5">
        <v>1.55547481580696</v>
      </c>
      <c r="H5">
        <v>9.2670089325859504</v>
      </c>
      <c r="I5">
        <v>4.68</v>
      </c>
      <c r="J5">
        <f t="shared" si="0"/>
        <v>126.77166271747816</v>
      </c>
      <c r="K5">
        <f t="shared" si="1"/>
        <v>94.190333635751927</v>
      </c>
    </row>
    <row r="6" spans="1:15">
      <c r="A6">
        <v>1776</v>
      </c>
      <c r="B6">
        <f>(B7-0.4)*1.02</f>
        <v>42.811641799756785</v>
      </c>
      <c r="C6">
        <v>51.034458999999998</v>
      </c>
      <c r="D6">
        <f>D5+10.9349*0.05-4*0.05-0.34*0.105-0.11-0.75*0.11-0.007-2.4/9*0.04-0.59*0.043</f>
        <v>17.154353666666672</v>
      </c>
      <c r="E6">
        <v>0</v>
      </c>
      <c r="F6">
        <v>0</v>
      </c>
      <c r="G6">
        <v>1.3212756834392401</v>
      </c>
      <c r="H6">
        <v>8.8978964183023095</v>
      </c>
      <c r="I6">
        <v>3.03</v>
      </c>
      <c r="J6">
        <f t="shared" si="0"/>
        <v>124.24962656816501</v>
      </c>
      <c r="K6">
        <f t="shared" si="1"/>
        <v>93.846100799756783</v>
      </c>
    </row>
    <row r="7" spans="1:15">
      <c r="A7">
        <v>1777</v>
      </c>
      <c r="B7">
        <f>(B8-1.29)*1.02</f>
        <v>42.372197842898807</v>
      </c>
      <c r="C7">
        <v>51.546458999999999</v>
      </c>
      <c r="D7">
        <f>D6-0.6*0.05-0.22-0.34*0.105-0.007-2.4/9*0.04-6.8*0.04+4.8*0.05-0.58*0.043</f>
        <v>16.794047000000006</v>
      </c>
      <c r="E7">
        <v>0</v>
      </c>
      <c r="F7">
        <v>0</v>
      </c>
      <c r="G7">
        <v>1.08518885323914</v>
      </c>
      <c r="H7">
        <v>8.5274997946259194</v>
      </c>
      <c r="I7">
        <v>4</v>
      </c>
      <c r="J7">
        <f t="shared" si="0"/>
        <v>124.32539249076387</v>
      </c>
      <c r="K7">
        <f t="shared" si="1"/>
        <v>93.918656842898798</v>
      </c>
    </row>
    <row r="8" spans="1:15">
      <c r="A8">
        <v>1778</v>
      </c>
      <c r="B8">
        <f>(B9-4.519)*1.02</f>
        <v>42.831370434214513</v>
      </c>
      <c r="C8">
        <v>52.447459000000002</v>
      </c>
      <c r="D8">
        <f>D7-0.44-10.25*0.11-12*0.12-2.72*0.105+10*0.05-6*0.14+9.5*0.05-0.007-0.57*0.043</f>
        <v>13.604437000000006</v>
      </c>
      <c r="E8">
        <v>1.2549999999999999</v>
      </c>
      <c r="F8">
        <v>0.3</v>
      </c>
      <c r="G8">
        <v>1.30385033046354</v>
      </c>
      <c r="H8">
        <v>8.1557608080715909</v>
      </c>
      <c r="I8">
        <v>5.4</v>
      </c>
      <c r="J8">
        <f t="shared" si="0"/>
        <v>125.29787757274966</v>
      </c>
      <c r="K8">
        <f t="shared" si="1"/>
        <v>95.278829434214515</v>
      </c>
    </row>
    <row r="9" spans="1:15">
      <c r="A9">
        <v>1779</v>
      </c>
      <c r="B9">
        <f>(B10-6.572)*1.02</f>
        <v>46.510539641386778</v>
      </c>
      <c r="C9">
        <v>52.959459000000003</v>
      </c>
      <c r="D9">
        <f>D8-0.35*0.07+(0.35*0.07+0.06)/2-0.56*0.043</f>
        <v>13.598107000000006</v>
      </c>
      <c r="E9">
        <v>0.1</v>
      </c>
      <c r="F9">
        <v>0.36899999999999999</v>
      </c>
      <c r="G9">
        <v>1.0711909211948401</v>
      </c>
      <c r="H9">
        <v>8.1326185603191803</v>
      </c>
      <c r="I9">
        <v>6.24</v>
      </c>
      <c r="J9">
        <f t="shared" si="0"/>
        <v>128.9809151229008</v>
      </c>
      <c r="K9">
        <f t="shared" si="1"/>
        <v>99.46999864138678</v>
      </c>
    </row>
    <row r="10" spans="1:15">
      <c r="A10">
        <v>1780</v>
      </c>
      <c r="B10">
        <f>B11*1.02</f>
        <v>52.170568275869392</v>
      </c>
      <c r="C10">
        <v>53.471459000000003</v>
      </c>
      <c r="D10">
        <f>D9+0.06+3.3545*0.05+6.4929*0.05+0.03-0.35*0.035+9.1568*0.05-0.57*0.043</f>
        <v>14.601557000000007</v>
      </c>
      <c r="E10">
        <v>0.30780000000000002</v>
      </c>
      <c r="F10">
        <v>0.36899999999999999</v>
      </c>
      <c r="G10">
        <v>3.1291683336306302</v>
      </c>
      <c r="H10">
        <v>7.7580093880246404</v>
      </c>
      <c r="I10">
        <v>6.72</v>
      </c>
      <c r="J10">
        <f t="shared" si="0"/>
        <v>138.52756199752469</v>
      </c>
      <c r="K10">
        <f t="shared" si="1"/>
        <v>105.6420272758694</v>
      </c>
    </row>
    <row r="11" spans="1:15">
      <c r="A11">
        <v>1781</v>
      </c>
      <c r="B11">
        <f>(B12-10.236)*1.02</f>
        <v>51.147615956734697</v>
      </c>
      <c r="C11">
        <v>53.983459000000003</v>
      </c>
      <c r="D11">
        <f>D10+16*0.05+16.5*0.05-0.03/6-24*0.043+12*0.05-9*0.05-0.1336*60+3.408-0.53*0.043</f>
        <v>10.708767000000007</v>
      </c>
      <c r="E11">
        <v>2.8889119999999999</v>
      </c>
      <c r="F11">
        <v>0.36899999999999999</v>
      </c>
      <c r="G11">
        <v>3.7050590644231498</v>
      </c>
      <c r="H11">
        <v>7.8005217371639004</v>
      </c>
      <c r="I11">
        <v>7.2</v>
      </c>
      <c r="J11">
        <f t="shared" si="0"/>
        <v>137.80333475832174</v>
      </c>
      <c r="K11">
        <f t="shared" si="1"/>
        <v>105.13107495673469</v>
      </c>
    </row>
    <row r="12" spans="1:15">
      <c r="A12">
        <v>1782</v>
      </c>
      <c r="B12">
        <f>(B13-14.8)*1.02</f>
        <v>60.380721526210493</v>
      </c>
      <c r="C12">
        <v>54.256459</v>
      </c>
      <c r="D12">
        <f>D11-0.03/6+2.4*0.05-12*0.05+30*0.043-0.53*0.043</f>
        <v>11.490977000000004</v>
      </c>
      <c r="E12">
        <v>3.2210648931039998</v>
      </c>
      <c r="F12">
        <v>0.76900000000000002</v>
      </c>
      <c r="G12">
        <v>3.98096597680922</v>
      </c>
      <c r="H12">
        <v>7.28684503166083</v>
      </c>
      <c r="I12">
        <v>9.2050000000000001</v>
      </c>
      <c r="J12">
        <f t="shared" si="0"/>
        <v>150.59103342778457</v>
      </c>
      <c r="K12">
        <f t="shared" si="1"/>
        <v>114.6371805262105</v>
      </c>
    </row>
    <row r="13" spans="1:15">
      <c r="A13">
        <v>1783</v>
      </c>
      <c r="B13">
        <f>(B14-1)*1.02</f>
        <v>73.99678581001028</v>
      </c>
      <c r="C13">
        <v>54.582259000000001</v>
      </c>
      <c r="D13">
        <f>D12+0.2*0.05-0.03/6+3.91*0.043</f>
        <v>11.664107000000003</v>
      </c>
      <c r="E13">
        <v>3.4374982696057499</v>
      </c>
      <c r="F13">
        <f>0.769+0.0265</f>
        <v>0.79549999999999998</v>
      </c>
      <c r="G13">
        <v>5.1053745188906197</v>
      </c>
      <c r="H13">
        <v>6.7766118360388496</v>
      </c>
      <c r="I13">
        <v>10.56</v>
      </c>
      <c r="J13">
        <f t="shared" si="0"/>
        <v>166.91813643454552</v>
      </c>
      <c r="K13">
        <f t="shared" si="1"/>
        <v>128.57904481001029</v>
      </c>
    </row>
    <row r="14" spans="1:15">
      <c r="A14">
        <v>1784</v>
      </c>
      <c r="B14">
        <f>(B15-10.566)*1.02</f>
        <v>73.545868441186542</v>
      </c>
      <c r="C14">
        <v>53.508059000000003</v>
      </c>
      <c r="D14">
        <f>D13-0.03/6+1.4*0.043</f>
        <v>11.719307000000002</v>
      </c>
      <c r="E14">
        <v>10.329231554691299</v>
      </c>
      <c r="F14">
        <v>0.79549999999999998</v>
      </c>
      <c r="G14">
        <v>4.83809794272267</v>
      </c>
      <c r="H14">
        <v>6.18290181182405</v>
      </c>
      <c r="I14">
        <v>11.76</v>
      </c>
      <c r="J14">
        <f t="shared" si="0"/>
        <v>172.67896575042457</v>
      </c>
      <c r="K14">
        <f t="shared" si="1"/>
        <v>127.05392744118654</v>
      </c>
    </row>
    <row r="15" spans="1:15">
      <c r="A15">
        <v>1785</v>
      </c>
      <c r="B15">
        <f>(B16-0.024)*1.02</f>
        <v>82.669792589398568</v>
      </c>
      <c r="C15">
        <v>54.450859000000001</v>
      </c>
      <c r="D15">
        <f>D14-0.03/6+0.6*0.05+1.2*0.05+1.48*0.043</f>
        <v>11.867947000000001</v>
      </c>
      <c r="E15">
        <v>8.1656574122066594</v>
      </c>
      <c r="F15">
        <f>F14+0.2</f>
        <v>0.99550000000000005</v>
      </c>
      <c r="G15">
        <v>5.3002499408077401</v>
      </c>
      <c r="H15">
        <v>5.8302718849152502</v>
      </c>
      <c r="I15">
        <v>12.96</v>
      </c>
      <c r="J15">
        <f t="shared" si="0"/>
        <v>182.24027782732821</v>
      </c>
      <c r="K15">
        <f t="shared" si="1"/>
        <v>137.12065158939856</v>
      </c>
    </row>
    <row r="16" spans="1:15">
      <c r="A16">
        <v>1786</v>
      </c>
      <c r="B16">
        <f>(B17-9.9665)*1.02</f>
        <v>81.072816264116241</v>
      </c>
      <c r="C16">
        <v>54.776659000000002</v>
      </c>
      <c r="D16">
        <f>D15+7.6*0.05*2-0.03/6+10*0.05</f>
        <v>13.122947</v>
      </c>
      <c r="E16">
        <v>16.1366130550884</v>
      </c>
      <c r="F16">
        <f>F15-0.06+1.3*0.05</f>
        <v>1.0004999999999999</v>
      </c>
      <c r="G16">
        <v>5.6968738193774904</v>
      </c>
      <c r="H16">
        <v>5.4542254291610099</v>
      </c>
      <c r="I16">
        <v>14.16</v>
      </c>
      <c r="J16">
        <f t="shared" si="0"/>
        <v>191.42063456774312</v>
      </c>
      <c r="K16">
        <f t="shared" si="1"/>
        <v>135.84947526411625</v>
      </c>
    </row>
    <row r="17" spans="1:11">
      <c r="A17">
        <v>1787</v>
      </c>
      <c r="B17">
        <f>(B18-6.936)*1.02</f>
        <v>89.449653200113957</v>
      </c>
      <c r="C17">
        <v>55.134459</v>
      </c>
      <c r="D17">
        <f>D16-0.03/6+2*0.0852</f>
        <v>13.288347</v>
      </c>
      <c r="E17">
        <v>27.700791599580899</v>
      </c>
      <c r="F17">
        <f>0.18+0.135+0.069+0.2+0.0265+0.4+6.7*0.05</f>
        <v>1.3454999999999999</v>
      </c>
      <c r="G17">
        <v>5.5373716000520501</v>
      </c>
      <c r="H17">
        <v>3.9066948256190601</v>
      </c>
      <c r="I17">
        <v>15.3</v>
      </c>
      <c r="J17">
        <f t="shared" si="0"/>
        <v>211.66281722536596</v>
      </c>
      <c r="K17">
        <f t="shared" si="1"/>
        <v>144.58411220011396</v>
      </c>
    </row>
    <row r="18" spans="1:11">
      <c r="A18">
        <v>1788</v>
      </c>
      <c r="B18">
        <f>(B19-12.35)*1.02</f>
        <v>94.63173843148428</v>
      </c>
      <c r="C18">
        <v>55.537959000000001</v>
      </c>
      <c r="D18">
        <f>D17-0.03/6+2*0.0852+1.1*0.05</f>
        <v>13.508747</v>
      </c>
      <c r="E18">
        <v>19.7594917422206</v>
      </c>
      <c r="F18">
        <f>0.12+0.09+0.051+0.2+0.15+0.0265+1.36+0.4</f>
        <v>2.3975</v>
      </c>
      <c r="G18">
        <v>5.0504301800546498</v>
      </c>
      <c r="H18">
        <v>7.6912374999999997</v>
      </c>
      <c r="I18">
        <v>14.86</v>
      </c>
      <c r="J18">
        <f t="shared" si="0"/>
        <v>213.43710385375954</v>
      </c>
      <c r="K18">
        <f t="shared" si="1"/>
        <v>150.16969743148428</v>
      </c>
    </row>
    <row r="19" spans="1:11">
      <c r="A19">
        <v>1789</v>
      </c>
      <c r="B19">
        <v>105.12621414851399</v>
      </c>
      <c r="C19">
        <v>55.537959000000001</v>
      </c>
      <c r="D19">
        <f>D18-0.03/6</f>
        <v>13.503746999999999</v>
      </c>
      <c r="E19">
        <v>18.886345135414</v>
      </c>
      <c r="F19">
        <f>0.06+0.045+0.033+0.2+0.15+0.02+0.32+0.95+4.6*0.05</f>
        <v>2.008</v>
      </c>
      <c r="G19">
        <v>4.79387737982207</v>
      </c>
      <c r="H19">
        <v>7.6293249999999997</v>
      </c>
      <c r="I19">
        <v>15.06</v>
      </c>
      <c r="J19">
        <f t="shared" si="0"/>
        <v>222.54546766375009</v>
      </c>
      <c r="K19">
        <f t="shared" si="1"/>
        <v>160.66417314851401</v>
      </c>
    </row>
    <row r="20" spans="1:11">
      <c r="A20">
        <v>1790</v>
      </c>
      <c r="B20">
        <v>103.175563330008</v>
      </c>
      <c r="C20">
        <v>55.512959000000002</v>
      </c>
      <c r="D20">
        <f>D19-0.03/6-10*0.05</f>
        <v>12.998746999999998</v>
      </c>
      <c r="E20">
        <v>17.9206706237605</v>
      </c>
      <c r="F20">
        <v>1.30585</v>
      </c>
      <c r="G20">
        <v>5.3307612488131699</v>
      </c>
      <c r="H20">
        <v>7.5803874999999996</v>
      </c>
      <c r="I20">
        <v>15.72</v>
      </c>
      <c r="J20">
        <f t="shared" si="0"/>
        <v>219.54493870258165</v>
      </c>
      <c r="K20">
        <f t="shared" si="1"/>
        <v>158.688522330008</v>
      </c>
    </row>
    <row r="21" spans="1:11">
      <c r="A21">
        <v>1791</v>
      </c>
      <c r="B21">
        <v>101.334428777173</v>
      </c>
      <c r="C21">
        <v>55.487958999999996</v>
      </c>
      <c r="D21">
        <f>D20-0.03/6-0.304*0.05</f>
        <v>12.978546999999997</v>
      </c>
      <c r="E21">
        <v>17.598724706458899</v>
      </c>
      <c r="F21">
        <v>1.145</v>
      </c>
      <c r="G21">
        <v>4.7064893112538302</v>
      </c>
      <c r="H21">
        <v>7.4207000000000001</v>
      </c>
      <c r="I21">
        <v>13.26</v>
      </c>
      <c r="J21">
        <f t="shared" si="0"/>
        <v>213.93184879488572</v>
      </c>
      <c r="K21">
        <f t="shared" si="1"/>
        <v>156.82238777717299</v>
      </c>
    </row>
    <row r="22" spans="1:11">
      <c r="A22">
        <v>1792</v>
      </c>
      <c r="B22">
        <v>99.524908489041906</v>
      </c>
      <c r="C22">
        <v>55.462958999999998</v>
      </c>
      <c r="D22">
        <f>D21-1/6*0.03-0.296*0.05</f>
        <v>12.958746999999997</v>
      </c>
      <c r="E22">
        <v>12.553209946890201</v>
      </c>
      <c r="F22">
        <v>0.95374999999999999</v>
      </c>
      <c r="G22">
        <v>4.0510037768165201</v>
      </c>
      <c r="H22">
        <v>7.2532249999999996</v>
      </c>
      <c r="I22">
        <v>13.26</v>
      </c>
      <c r="J22">
        <f t="shared" si="0"/>
        <v>206.01780321274859</v>
      </c>
      <c r="K22">
        <f t="shared" si="1"/>
        <v>154.98786748904189</v>
      </c>
    </row>
    <row r="23" spans="1:11">
      <c r="A23">
        <v>1793</v>
      </c>
      <c r="B23">
        <v>97.762774465479396</v>
      </c>
      <c r="C23">
        <v>55.437958999999999</v>
      </c>
      <c r="D23">
        <f t="shared" ref="D23:D54" si="2">D22</f>
        <v>12.958746999999997</v>
      </c>
      <c r="E23">
        <v>11.4726568303858</v>
      </c>
      <c r="F23">
        <v>0.73875000000000002</v>
      </c>
      <c r="G23">
        <v>3.3960516573689401</v>
      </c>
      <c r="H23">
        <v>7.07769125</v>
      </c>
      <c r="I23">
        <v>13.26</v>
      </c>
      <c r="J23">
        <f t="shared" si="0"/>
        <v>202.10463020323411</v>
      </c>
      <c r="K23">
        <f t="shared" si="1"/>
        <v>153.2007334654794</v>
      </c>
    </row>
    <row r="24" spans="1:11">
      <c r="A24">
        <v>1794</v>
      </c>
      <c r="B24">
        <v>96.024849361579996</v>
      </c>
      <c r="C24">
        <v>55.412959000000001</v>
      </c>
      <c r="D24">
        <f t="shared" si="2"/>
        <v>12.958746999999997</v>
      </c>
      <c r="E24">
        <v>10.374460731204501</v>
      </c>
      <c r="F24">
        <v>0.57374999999999998</v>
      </c>
      <c r="G24">
        <v>2.71724424023739</v>
      </c>
      <c r="H24">
        <v>6.8937014374999999</v>
      </c>
      <c r="I24">
        <v>13.26</v>
      </c>
      <c r="J24">
        <f t="shared" si="0"/>
        <v>198.21571177052184</v>
      </c>
      <c r="K24">
        <f t="shared" si="1"/>
        <v>151.43780836157998</v>
      </c>
    </row>
    <row r="25" spans="1:11">
      <c r="A25">
        <v>1795</v>
      </c>
      <c r="B25">
        <v>94.302157338826802</v>
      </c>
      <c r="C25">
        <v>55.412959000000001</v>
      </c>
      <c r="D25">
        <f t="shared" si="2"/>
        <v>12.958746999999997</v>
      </c>
      <c r="E25">
        <v>9.2434739460518092</v>
      </c>
      <c r="F25">
        <v>0.40875</v>
      </c>
      <c r="G25">
        <v>2.18287413771895</v>
      </c>
      <c r="H25">
        <v>6.7007315093750002</v>
      </c>
      <c r="I25">
        <v>13.26</v>
      </c>
      <c r="J25">
        <f t="shared" si="0"/>
        <v>194.46969293197256</v>
      </c>
      <c r="K25">
        <f t="shared" si="1"/>
        <v>149.71511633882682</v>
      </c>
    </row>
    <row r="26" spans="1:11">
      <c r="A26">
        <v>1796</v>
      </c>
      <c r="B26">
        <v>92.584415480703896</v>
      </c>
      <c r="C26">
        <v>55.412959000000001</v>
      </c>
      <c r="D26">
        <f t="shared" si="2"/>
        <v>12.958746999999997</v>
      </c>
      <c r="E26">
        <v>8.0766343928778905</v>
      </c>
      <c r="F26">
        <v>0.91874999999999996</v>
      </c>
      <c r="G26">
        <v>1.74044320607512</v>
      </c>
      <c r="H26">
        <v>6.4984674598437504</v>
      </c>
      <c r="I26">
        <v>13.26</v>
      </c>
      <c r="J26">
        <f t="shared" si="0"/>
        <v>191.45041653950062</v>
      </c>
      <c r="K26">
        <f t="shared" si="1"/>
        <v>147.99737448070391</v>
      </c>
    </row>
    <row r="27" spans="1:11">
      <c r="A27">
        <v>1797</v>
      </c>
      <c r="B27">
        <v>90.876027447794499</v>
      </c>
      <c r="C27">
        <v>55.412959000000001</v>
      </c>
      <c r="D27">
        <f t="shared" si="2"/>
        <v>12.958746999999997</v>
      </c>
      <c r="E27">
        <v>6.5320387621718599</v>
      </c>
      <c r="F27">
        <v>0.19875000000000001</v>
      </c>
      <c r="G27">
        <v>1.3343194560845599</v>
      </c>
      <c r="H27">
        <v>6.2864670828359399</v>
      </c>
      <c r="I27">
        <v>13.26</v>
      </c>
      <c r="J27">
        <f t="shared" si="0"/>
        <v>186.85930874888683</v>
      </c>
      <c r="K27">
        <f t="shared" si="1"/>
        <v>146.28898644779451</v>
      </c>
    </row>
    <row r="28" spans="1:11">
      <c r="A28">
        <v>1798</v>
      </c>
      <c r="B28">
        <v>89.165491634528394</v>
      </c>
      <c r="C28">
        <v>55.412959000000001</v>
      </c>
      <c r="D28">
        <f t="shared" si="2"/>
        <v>12.958746999999997</v>
      </c>
      <c r="E28">
        <v>6.1684341426048404</v>
      </c>
      <c r="F28">
        <v>0.14874999999999999</v>
      </c>
      <c r="G28">
        <v>1.0312137972676401</v>
      </c>
      <c r="H28">
        <v>6.0640466869777301</v>
      </c>
      <c r="I28">
        <v>13.26</v>
      </c>
      <c r="J28">
        <f t="shared" si="0"/>
        <v>184.20964226137858</v>
      </c>
      <c r="K28">
        <f t="shared" si="1"/>
        <v>144.57845063452839</v>
      </c>
    </row>
    <row r="29" spans="1:11">
      <c r="A29">
        <v>1799</v>
      </c>
      <c r="B29">
        <v>87.456652243306806</v>
      </c>
      <c r="C29">
        <v>55.412959000000001</v>
      </c>
      <c r="D29">
        <f t="shared" si="2"/>
        <v>12.958746999999997</v>
      </c>
      <c r="E29">
        <v>5.8121462846002903</v>
      </c>
      <c r="F29">
        <v>9.8750000000000004E-2</v>
      </c>
      <c r="G29">
        <v>0.75076787744156803</v>
      </c>
      <c r="H29">
        <v>5.8309552713266202</v>
      </c>
      <c r="I29">
        <v>13.26</v>
      </c>
      <c r="J29">
        <f t="shared" si="0"/>
        <v>181.58097767667525</v>
      </c>
      <c r="K29">
        <f t="shared" si="1"/>
        <v>142.86961124330679</v>
      </c>
    </row>
    <row r="30" spans="1:11">
      <c r="A30">
        <v>1800</v>
      </c>
      <c r="B30">
        <v>85.748618414062506</v>
      </c>
      <c r="C30">
        <v>55.412959000000001</v>
      </c>
      <c r="D30">
        <f t="shared" si="2"/>
        <v>12.958746999999997</v>
      </c>
      <c r="E30">
        <v>5.4496522872072504</v>
      </c>
      <c r="F30">
        <v>4.8750000000000002E-2</v>
      </c>
      <c r="G30">
        <v>0.52426130112213798</v>
      </c>
      <c r="H30">
        <v>5.58658615989295</v>
      </c>
      <c r="I30">
        <v>13.26</v>
      </c>
      <c r="J30">
        <f t="shared" si="0"/>
        <v>178.98957416228481</v>
      </c>
      <c r="K30">
        <f t="shared" si="1"/>
        <v>141.16157741406249</v>
      </c>
    </row>
    <row r="31" spans="1:11">
      <c r="A31">
        <v>1801</v>
      </c>
      <c r="B31">
        <v>84.042838403985002</v>
      </c>
      <c r="C31">
        <v>55.412959000000001</v>
      </c>
      <c r="D31">
        <f t="shared" si="2"/>
        <v>12.958746999999997</v>
      </c>
      <c r="E31">
        <v>5.0805717281652099</v>
      </c>
      <c r="F31">
        <v>0</v>
      </c>
      <c r="G31">
        <v>0.36988993189703001</v>
      </c>
      <c r="H31">
        <v>5.3303135928875998</v>
      </c>
      <c r="I31">
        <v>13.26</v>
      </c>
      <c r="J31">
        <f t="shared" si="0"/>
        <v>176.45531965693482</v>
      </c>
      <c r="K31">
        <f t="shared" si="1"/>
        <v>139.455797403985</v>
      </c>
    </row>
    <row r="32" spans="1:11">
      <c r="A32">
        <v>1802</v>
      </c>
      <c r="B32">
        <v>82.337248166396606</v>
      </c>
      <c r="C32">
        <v>55.412959000000001</v>
      </c>
      <c r="D32">
        <f t="shared" si="2"/>
        <v>12.958746999999997</v>
      </c>
      <c r="E32">
        <v>4.68759439864181</v>
      </c>
      <c r="F32">
        <v>0</v>
      </c>
      <c r="G32">
        <v>0.249062882315292</v>
      </c>
      <c r="H32">
        <v>5.0617167725319803</v>
      </c>
      <c r="I32">
        <v>13.26</v>
      </c>
      <c r="J32">
        <f t="shared" si="0"/>
        <v>173.96732821988564</v>
      </c>
      <c r="K32">
        <f t="shared" si="1"/>
        <v>137.75020716639659</v>
      </c>
    </row>
    <row r="33" spans="1:11">
      <c r="A33">
        <v>1803</v>
      </c>
      <c r="B33">
        <v>80.641237204019106</v>
      </c>
      <c r="C33">
        <v>55.412959000000001</v>
      </c>
      <c r="D33">
        <f t="shared" si="2"/>
        <v>12.958746999999997</v>
      </c>
      <c r="E33">
        <v>4.2860524257804897</v>
      </c>
      <c r="G33">
        <v>0.128516026431056</v>
      </c>
      <c r="H33">
        <v>4.7800163611585802</v>
      </c>
      <c r="I33">
        <v>13.26</v>
      </c>
      <c r="J33">
        <f t="shared" si="0"/>
        <v>171.46752801738918</v>
      </c>
      <c r="K33">
        <f t="shared" si="1"/>
        <v>136.05419620401909</v>
      </c>
    </row>
    <row r="34" spans="1:11">
      <c r="A34">
        <v>1804</v>
      </c>
      <c r="B34">
        <v>78.957204081461995</v>
      </c>
      <c r="C34">
        <v>55.412959000000001</v>
      </c>
      <c r="D34">
        <f t="shared" si="2"/>
        <v>12.958746999999997</v>
      </c>
      <c r="E34">
        <v>3.87541080055757</v>
      </c>
      <c r="G34">
        <v>2.1673872605450999E-2</v>
      </c>
      <c r="H34">
        <v>4.4847484292165101</v>
      </c>
      <c r="I34">
        <v>13.26</v>
      </c>
      <c r="J34">
        <f t="shared" si="0"/>
        <v>168.97074318384153</v>
      </c>
      <c r="K34">
        <f t="shared" si="1"/>
        <v>134.37016308146201</v>
      </c>
    </row>
    <row r="35" spans="1:11">
      <c r="A35">
        <v>1805</v>
      </c>
      <c r="B35">
        <v>77.288003268175203</v>
      </c>
      <c r="C35">
        <v>55.412959000000001</v>
      </c>
      <c r="D35">
        <f t="shared" si="2"/>
        <v>12.958746999999997</v>
      </c>
      <c r="E35">
        <v>3.4381944698793498</v>
      </c>
      <c r="G35">
        <v>0</v>
      </c>
      <c r="H35">
        <v>4.1750883506773304</v>
      </c>
      <c r="I35">
        <v>13.26</v>
      </c>
      <c r="J35">
        <f t="shared" si="0"/>
        <v>166.53299208873187</v>
      </c>
      <c r="K35">
        <f t="shared" si="1"/>
        <v>132.7009622681752</v>
      </c>
    </row>
    <row r="36" spans="1:11">
      <c r="A36">
        <v>1806</v>
      </c>
      <c r="B36">
        <v>75.638096850583494</v>
      </c>
      <c r="C36">
        <v>55.412959000000001</v>
      </c>
      <c r="D36">
        <f t="shared" si="2"/>
        <v>12.958746999999997</v>
      </c>
      <c r="E36">
        <v>2.9895597733338102</v>
      </c>
      <c r="H36">
        <v>3.8504121432112002</v>
      </c>
      <c r="I36">
        <v>13.26</v>
      </c>
      <c r="J36">
        <f t="shared" ref="J36:J67" si="3">SUM(B36:I36)</f>
        <v>164.1097747671285</v>
      </c>
      <c r="K36">
        <f t="shared" ref="K36:K67" si="4">SUM(B36:C36)</f>
        <v>131.05105585058351</v>
      </c>
    </row>
    <row r="37" spans="1:11">
      <c r="A37">
        <v>1807</v>
      </c>
      <c r="B37">
        <v>74.009340822686596</v>
      </c>
      <c r="C37">
        <v>55.412959000000001</v>
      </c>
      <c r="D37">
        <f t="shared" si="2"/>
        <v>12.958746999999997</v>
      </c>
      <c r="E37">
        <v>2.5287842391901298</v>
      </c>
      <c r="H37">
        <v>3.51007025037176</v>
      </c>
      <c r="I37">
        <v>13.26</v>
      </c>
      <c r="J37">
        <f t="shared" si="3"/>
        <v>161.67990131224846</v>
      </c>
      <c r="K37">
        <f t="shared" si="4"/>
        <v>129.4222998226866</v>
      </c>
    </row>
    <row r="38" spans="1:11">
      <c r="A38">
        <v>1808</v>
      </c>
      <c r="B38">
        <v>72.404209698185895</v>
      </c>
      <c r="C38">
        <v>55.412959000000001</v>
      </c>
      <c r="D38">
        <f t="shared" si="2"/>
        <v>12.958746999999997</v>
      </c>
      <c r="E38">
        <v>2.0381928954744102</v>
      </c>
      <c r="H38">
        <v>3.1531612628903498</v>
      </c>
      <c r="I38">
        <v>13.26</v>
      </c>
      <c r="J38">
        <f t="shared" si="3"/>
        <v>159.22726985655063</v>
      </c>
      <c r="K38">
        <f t="shared" si="4"/>
        <v>127.8171686981859</v>
      </c>
    </row>
    <row r="39" spans="1:11">
      <c r="A39">
        <v>1809</v>
      </c>
      <c r="B39">
        <v>70.824145327394504</v>
      </c>
      <c r="C39">
        <v>55.412959000000001</v>
      </c>
      <c r="D39">
        <f t="shared" si="2"/>
        <v>12.958746999999997</v>
      </c>
      <c r="E39">
        <v>1.53272887322463</v>
      </c>
      <c r="H39">
        <v>2.7789805760348698</v>
      </c>
      <c r="I39">
        <v>13.26</v>
      </c>
      <c r="J39">
        <f t="shared" si="3"/>
        <v>156.76756077665402</v>
      </c>
      <c r="K39">
        <f t="shared" si="4"/>
        <v>126.2371043273945</v>
      </c>
    </row>
    <row r="40" spans="1:11">
      <c r="A40">
        <v>1810</v>
      </c>
      <c r="B40">
        <v>69.271534186870397</v>
      </c>
      <c r="C40">
        <v>55.412959000000001</v>
      </c>
      <c r="D40">
        <f t="shared" si="2"/>
        <v>12.958746999999997</v>
      </c>
      <c r="E40">
        <v>1.01144231298315</v>
      </c>
      <c r="H40">
        <v>2.38665609983661</v>
      </c>
      <c r="I40">
        <v>13.26</v>
      </c>
      <c r="J40">
        <f t="shared" si="3"/>
        <v>154.30133859969015</v>
      </c>
      <c r="K40">
        <f t="shared" si="4"/>
        <v>124.6844931868704</v>
      </c>
    </row>
    <row r="41" spans="1:11">
      <c r="A41">
        <v>1811</v>
      </c>
      <c r="B41">
        <v>67.747291082380599</v>
      </c>
      <c r="C41">
        <v>55.412959000000001</v>
      </c>
      <c r="D41">
        <f t="shared" si="2"/>
        <v>12.958746999999997</v>
      </c>
      <c r="E41">
        <v>0.32117067410091399</v>
      </c>
      <c r="H41">
        <v>2.2258275915718801</v>
      </c>
      <c r="I41">
        <v>13.26</v>
      </c>
      <c r="J41">
        <f t="shared" si="3"/>
        <v>151.92599534805339</v>
      </c>
      <c r="K41">
        <f t="shared" si="4"/>
        <v>123.1602500823806</v>
      </c>
    </row>
    <row r="42" spans="1:11">
      <c r="A42">
        <v>1812</v>
      </c>
      <c r="B42">
        <v>66.254760452758106</v>
      </c>
      <c r="C42">
        <v>55.412959000000001</v>
      </c>
      <c r="D42">
        <f t="shared" si="2"/>
        <v>12.958746999999997</v>
      </c>
      <c r="E42">
        <v>0.26201750106494998</v>
      </c>
      <c r="H42">
        <v>2.0870535537859798</v>
      </c>
      <c r="I42">
        <v>13.26</v>
      </c>
      <c r="J42">
        <f t="shared" si="3"/>
        <v>150.23553750760902</v>
      </c>
      <c r="K42">
        <f t="shared" si="4"/>
        <v>121.66771945275811</v>
      </c>
    </row>
    <row r="43" spans="1:11">
      <c r="A43">
        <v>1813</v>
      </c>
      <c r="B43">
        <v>64.790101847250696</v>
      </c>
      <c r="C43">
        <v>55.412959000000001</v>
      </c>
      <c r="D43">
        <f t="shared" si="2"/>
        <v>12.958746999999997</v>
      </c>
      <c r="E43">
        <v>0.20049820110754801</v>
      </c>
      <c r="H43">
        <v>1.94198592995437</v>
      </c>
      <c r="I43">
        <v>13.26</v>
      </c>
      <c r="J43">
        <f t="shared" si="3"/>
        <v>148.56429197831258</v>
      </c>
      <c r="K43">
        <f t="shared" si="4"/>
        <v>120.2030608472507</v>
      </c>
    </row>
    <row r="44" spans="1:11">
      <c r="A44">
        <v>1814</v>
      </c>
      <c r="B44">
        <v>63.3549585921062</v>
      </c>
      <c r="C44">
        <v>55.412959000000001</v>
      </c>
      <c r="D44">
        <f t="shared" si="2"/>
        <v>12.958746999999997</v>
      </c>
      <c r="E44">
        <v>0.13651812915184999</v>
      </c>
      <c r="H44">
        <v>1.79033907098775</v>
      </c>
      <c r="I44">
        <v>13.26</v>
      </c>
      <c r="J44">
        <f t="shared" si="3"/>
        <v>146.9135217922458</v>
      </c>
      <c r="K44">
        <f t="shared" si="4"/>
        <v>118.7679175921062</v>
      </c>
    </row>
    <row r="45" spans="1:11">
      <c r="A45">
        <v>1815</v>
      </c>
      <c r="B45">
        <v>61.946095583255598</v>
      </c>
      <c r="C45">
        <v>55.412959000000001</v>
      </c>
      <c r="D45">
        <f t="shared" si="2"/>
        <v>12.958746999999997</v>
      </c>
      <c r="E45">
        <v>6.9978854317924305E-2</v>
      </c>
      <c r="H45">
        <v>1.6318143517018999</v>
      </c>
      <c r="I45">
        <v>13.26</v>
      </c>
      <c r="J45">
        <f t="shared" si="3"/>
        <v>145.27959478927542</v>
      </c>
      <c r="K45">
        <f t="shared" si="4"/>
        <v>117.3590545832556</v>
      </c>
    </row>
    <row r="46" spans="1:11">
      <c r="A46">
        <v>1816</v>
      </c>
      <c r="B46">
        <v>60.567447748714599</v>
      </c>
      <c r="C46">
        <v>55.412959000000001</v>
      </c>
      <c r="D46">
        <f t="shared" si="2"/>
        <v>12.958746999999997</v>
      </c>
      <c r="H46">
        <v>1.4660995807991699</v>
      </c>
      <c r="I46">
        <v>13.26</v>
      </c>
      <c r="J46">
        <f t="shared" si="3"/>
        <v>143.66525332951377</v>
      </c>
      <c r="K46">
        <f t="shared" si="4"/>
        <v>115.9804067487146</v>
      </c>
    </row>
    <row r="47" spans="1:11">
      <c r="A47">
        <v>1817</v>
      </c>
      <c r="B47">
        <v>59.214976506141802</v>
      </c>
      <c r="C47">
        <v>55.412959000000001</v>
      </c>
      <c r="D47">
        <f t="shared" si="2"/>
        <v>12.958746999999997</v>
      </c>
      <c r="H47">
        <v>1.29286838399435</v>
      </c>
      <c r="I47">
        <v>13.26</v>
      </c>
      <c r="J47">
        <f t="shared" si="3"/>
        <v>142.13955089013615</v>
      </c>
      <c r="K47">
        <f t="shared" si="4"/>
        <v>114.6279355061418</v>
      </c>
    </row>
    <row r="48" spans="1:11">
      <c r="A48">
        <v>1818</v>
      </c>
      <c r="B48">
        <v>57.905774458917598</v>
      </c>
      <c r="C48">
        <v>55.412959000000001</v>
      </c>
      <c r="D48">
        <f t="shared" si="2"/>
        <v>12.958746999999997</v>
      </c>
      <c r="H48">
        <v>1.11177955906128</v>
      </c>
      <c r="I48">
        <v>13.26</v>
      </c>
      <c r="J48">
        <f t="shared" si="3"/>
        <v>140.64926001797886</v>
      </c>
      <c r="K48">
        <f t="shared" si="4"/>
        <v>113.31873345891759</v>
      </c>
    </row>
    <row r="49" spans="1:11">
      <c r="A49">
        <v>1819</v>
      </c>
      <c r="B49">
        <v>56.603829365316798</v>
      </c>
      <c r="C49">
        <v>55.412959000000001</v>
      </c>
      <c r="D49">
        <f t="shared" si="2"/>
        <v>12.958746999999997</v>
      </c>
      <c r="H49">
        <v>0.92247640152057597</v>
      </c>
      <c r="I49">
        <v>13.26</v>
      </c>
      <c r="J49">
        <f t="shared" si="3"/>
        <v>139.15801176683738</v>
      </c>
      <c r="K49">
        <f t="shared" si="4"/>
        <v>112.0167883653168</v>
      </c>
    </row>
    <row r="50" spans="1:11">
      <c r="A50">
        <v>1820</v>
      </c>
      <c r="B50">
        <v>55.326172403991301</v>
      </c>
      <c r="C50">
        <v>55.412959000000001</v>
      </c>
      <c r="D50">
        <f t="shared" si="2"/>
        <v>12.958746999999997</v>
      </c>
      <c r="H50">
        <v>0.72458599963061798</v>
      </c>
      <c r="I50">
        <v>13.26</v>
      </c>
      <c r="J50">
        <f t="shared" si="3"/>
        <v>137.68246440362194</v>
      </c>
      <c r="K50">
        <f t="shared" si="4"/>
        <v>110.73913140399131</v>
      </c>
    </row>
    <row r="51" spans="1:11">
      <c r="A51">
        <v>1821</v>
      </c>
      <c r="B51">
        <v>54.068067881300699</v>
      </c>
      <c r="C51">
        <v>55.412959000000001</v>
      </c>
      <c r="D51">
        <f t="shared" si="2"/>
        <v>12.958746999999997</v>
      </c>
      <c r="H51">
        <v>0.51771849728269304</v>
      </c>
      <c r="I51">
        <v>13.26</v>
      </c>
      <c r="J51">
        <f t="shared" si="3"/>
        <v>136.21749237858339</v>
      </c>
      <c r="K51">
        <f t="shared" si="4"/>
        <v>109.48102688130069</v>
      </c>
    </row>
    <row r="52" spans="1:11">
      <c r="A52">
        <v>1822</v>
      </c>
      <c r="B52">
        <v>52.830930676663201</v>
      </c>
      <c r="C52">
        <v>55.412959000000001</v>
      </c>
      <c r="D52">
        <f t="shared" si="2"/>
        <v>12.958746999999997</v>
      </c>
      <c r="H52">
        <v>0.31910409719774802</v>
      </c>
      <c r="I52">
        <v>13.26</v>
      </c>
      <c r="J52">
        <f t="shared" si="3"/>
        <v>134.78174077386095</v>
      </c>
      <c r="K52">
        <f t="shared" si="4"/>
        <v>108.2438896766632</v>
      </c>
    </row>
    <row r="53" spans="1:11">
      <c r="A53">
        <v>1823</v>
      </c>
      <c r="B53">
        <v>51.611000347307296</v>
      </c>
      <c r="C53">
        <v>55.412959000000001</v>
      </c>
      <c r="D53">
        <f t="shared" si="2"/>
        <v>12.958746999999997</v>
      </c>
      <c r="H53">
        <v>0.302426802057635</v>
      </c>
      <c r="I53">
        <v>13.26</v>
      </c>
      <c r="J53">
        <f t="shared" si="3"/>
        <v>133.54513314936494</v>
      </c>
      <c r="K53">
        <f t="shared" si="4"/>
        <v>107.0239593473073</v>
      </c>
    </row>
    <row r="54" spans="1:11">
      <c r="A54">
        <v>1824</v>
      </c>
      <c r="B54">
        <v>50.407187236173598</v>
      </c>
      <c r="C54">
        <v>55.412959000000001</v>
      </c>
      <c r="D54">
        <f t="shared" si="2"/>
        <v>12.958746999999997</v>
      </c>
      <c r="H54">
        <v>0.28491564216051701</v>
      </c>
      <c r="I54">
        <v>13.26</v>
      </c>
      <c r="J54">
        <f t="shared" si="3"/>
        <v>132.32380887833412</v>
      </c>
      <c r="K54">
        <f t="shared" si="4"/>
        <v>105.8201462361736</v>
      </c>
    </row>
    <row r="55" spans="1:11">
      <c r="A55">
        <v>1825</v>
      </c>
      <c r="B55">
        <v>49.233819430777601</v>
      </c>
      <c r="C55">
        <v>55.412959000000001</v>
      </c>
      <c r="D55">
        <f t="shared" ref="D55:D86" si="5">D54</f>
        <v>12.958746999999997</v>
      </c>
      <c r="H55">
        <v>3.38789242685427E-2</v>
      </c>
      <c r="I55">
        <v>13.26</v>
      </c>
      <c r="J55">
        <f t="shared" si="3"/>
        <v>130.89940435504616</v>
      </c>
      <c r="K55">
        <f t="shared" si="4"/>
        <v>104.6467784307776</v>
      </c>
    </row>
    <row r="56" spans="1:11">
      <c r="A56">
        <v>1826</v>
      </c>
      <c r="B56">
        <v>48.020698977973197</v>
      </c>
      <c r="C56">
        <v>55.412959000000001</v>
      </c>
      <c r="D56">
        <f t="shared" si="5"/>
        <v>12.958746999999997</v>
      </c>
      <c r="H56">
        <v>0</v>
      </c>
      <c r="I56">
        <v>13.26</v>
      </c>
      <c r="J56">
        <f t="shared" si="3"/>
        <v>129.65240497797319</v>
      </c>
      <c r="K56">
        <f t="shared" si="4"/>
        <v>103.4336579779732</v>
      </c>
    </row>
    <row r="57" spans="1:11">
      <c r="A57">
        <v>1827</v>
      </c>
      <c r="B57">
        <v>46.853532731733402</v>
      </c>
      <c r="C57">
        <v>55.412959000000001</v>
      </c>
      <c r="D57">
        <f t="shared" si="5"/>
        <v>12.958746999999997</v>
      </c>
      <c r="I57">
        <v>13.26</v>
      </c>
      <c r="J57">
        <f t="shared" si="3"/>
        <v>128.4852387317334</v>
      </c>
      <c r="K57">
        <f t="shared" si="4"/>
        <v>102.2664917317334</v>
      </c>
    </row>
    <row r="58" spans="1:11">
      <c r="A58">
        <v>1828</v>
      </c>
      <c r="B58">
        <v>45.695904674705901</v>
      </c>
      <c r="C58">
        <v>55.412959000000001</v>
      </c>
      <c r="D58">
        <f t="shared" si="5"/>
        <v>12.958746999999997</v>
      </c>
      <c r="I58">
        <v>13.26</v>
      </c>
      <c r="J58">
        <f t="shared" si="3"/>
        <v>127.32761067470591</v>
      </c>
      <c r="K58">
        <f t="shared" si="4"/>
        <v>101.1088636747059</v>
      </c>
    </row>
    <row r="59" spans="1:11">
      <c r="A59">
        <v>1829</v>
      </c>
      <c r="B59">
        <v>44.544855752515701</v>
      </c>
      <c r="C59">
        <v>55.412959000000001</v>
      </c>
      <c r="D59">
        <f t="shared" si="5"/>
        <v>12.958746999999997</v>
      </c>
      <c r="I59">
        <v>13.26</v>
      </c>
      <c r="J59">
        <f t="shared" si="3"/>
        <v>126.17656175251571</v>
      </c>
      <c r="K59">
        <f t="shared" si="4"/>
        <v>99.957814752515702</v>
      </c>
    </row>
    <row r="60" spans="1:11">
      <c r="A60">
        <v>1830</v>
      </c>
      <c r="B60">
        <v>43.399070768453903</v>
      </c>
      <c r="C60">
        <v>55.412959000000001</v>
      </c>
      <c r="D60">
        <f t="shared" si="5"/>
        <v>12.958746999999997</v>
      </c>
      <c r="I60">
        <v>13.26</v>
      </c>
      <c r="J60">
        <f t="shared" si="3"/>
        <v>125.0307767684539</v>
      </c>
      <c r="K60">
        <f t="shared" si="4"/>
        <v>98.812029768453897</v>
      </c>
    </row>
    <row r="61" spans="1:11">
      <c r="A61">
        <v>1831</v>
      </c>
      <c r="B61">
        <v>42.2586659080728</v>
      </c>
      <c r="C61">
        <v>55.412959000000001</v>
      </c>
      <c r="D61">
        <f t="shared" si="5"/>
        <v>12.958746999999997</v>
      </c>
      <c r="I61">
        <v>13.26</v>
      </c>
      <c r="J61">
        <f t="shared" si="3"/>
        <v>123.89037190807281</v>
      </c>
      <c r="K61">
        <f t="shared" si="4"/>
        <v>97.671624908072801</v>
      </c>
    </row>
    <row r="62" spans="1:11">
      <c r="A62">
        <v>1832</v>
      </c>
      <c r="B62">
        <v>41.1200314127491</v>
      </c>
      <c r="C62">
        <v>55.412959000000001</v>
      </c>
      <c r="D62">
        <f t="shared" si="5"/>
        <v>12.958746999999997</v>
      </c>
      <c r="I62">
        <v>13.26</v>
      </c>
      <c r="J62">
        <f t="shared" si="3"/>
        <v>122.75173741274911</v>
      </c>
      <c r="K62">
        <f t="shared" si="4"/>
        <v>96.532990412749101</v>
      </c>
    </row>
    <row r="63" spans="1:11">
      <c r="A63">
        <v>1833</v>
      </c>
      <c r="B63">
        <v>39.982069181585402</v>
      </c>
      <c r="C63">
        <v>55.412959000000001</v>
      </c>
      <c r="D63">
        <f t="shared" si="5"/>
        <v>12.958746999999997</v>
      </c>
      <c r="I63">
        <v>13.26</v>
      </c>
      <c r="J63">
        <f t="shared" si="3"/>
        <v>121.61377518158541</v>
      </c>
      <c r="K63">
        <f t="shared" si="4"/>
        <v>95.395028181585403</v>
      </c>
    </row>
    <row r="64" spans="1:11">
      <c r="A64">
        <v>1834</v>
      </c>
      <c r="B64">
        <v>38.843708020515898</v>
      </c>
      <c r="C64">
        <v>55.412959000000001</v>
      </c>
      <c r="D64">
        <f t="shared" si="5"/>
        <v>12.958746999999997</v>
      </c>
      <c r="I64">
        <v>13.26</v>
      </c>
      <c r="J64">
        <f t="shared" si="3"/>
        <v>120.4754140205159</v>
      </c>
      <c r="K64">
        <f t="shared" si="4"/>
        <v>94.256667020515891</v>
      </c>
    </row>
    <row r="65" spans="1:11">
      <c r="A65">
        <v>1835</v>
      </c>
      <c r="B65">
        <v>37.703225696968602</v>
      </c>
      <c r="C65">
        <v>55.412959000000001</v>
      </c>
      <c r="D65">
        <f t="shared" si="5"/>
        <v>12.958746999999997</v>
      </c>
      <c r="I65">
        <v>13.26</v>
      </c>
      <c r="J65">
        <f t="shared" si="3"/>
        <v>119.33493169696861</v>
      </c>
      <c r="K65">
        <f t="shared" si="4"/>
        <v>93.116184696968602</v>
      </c>
    </row>
    <row r="66" spans="1:11">
      <c r="A66">
        <v>1836</v>
      </c>
      <c r="B66">
        <v>36.560572754556198</v>
      </c>
      <c r="C66">
        <v>55.412959000000001</v>
      </c>
      <c r="D66">
        <f t="shared" si="5"/>
        <v>12.958746999999997</v>
      </c>
      <c r="I66">
        <v>13.26</v>
      </c>
      <c r="J66">
        <f t="shared" si="3"/>
        <v>118.19227875455621</v>
      </c>
      <c r="K66">
        <f t="shared" si="4"/>
        <v>91.973531754556205</v>
      </c>
    </row>
    <row r="67" spans="1:11">
      <c r="A67">
        <v>1837</v>
      </c>
      <c r="B67">
        <v>35.4124201338986</v>
      </c>
      <c r="C67">
        <v>55.412959000000001</v>
      </c>
      <c r="D67">
        <f t="shared" si="5"/>
        <v>12.958746999999997</v>
      </c>
      <c r="I67">
        <v>13.26</v>
      </c>
      <c r="J67">
        <f t="shared" si="3"/>
        <v>117.0441261338986</v>
      </c>
      <c r="K67">
        <f t="shared" si="4"/>
        <v>90.825379133898593</v>
      </c>
    </row>
    <row r="68" spans="1:11">
      <c r="A68">
        <v>1838</v>
      </c>
      <c r="B68">
        <v>34.258528440104598</v>
      </c>
      <c r="C68">
        <v>55.412959000000001</v>
      </c>
      <c r="D68">
        <f t="shared" si="5"/>
        <v>12.958746999999997</v>
      </c>
      <c r="I68">
        <v>13.26</v>
      </c>
      <c r="J68">
        <f t="shared" ref="J68:J99" si="6">SUM(B68:I68)</f>
        <v>115.89023444010461</v>
      </c>
      <c r="K68">
        <f t="shared" ref="K68:K99" si="7">SUM(B68:C68)</f>
        <v>89.671487440104599</v>
      </c>
    </row>
    <row r="69" spans="1:11">
      <c r="A69">
        <v>1839</v>
      </c>
      <c r="B69">
        <v>33.097826620516202</v>
      </c>
      <c r="C69">
        <v>55.412959000000001</v>
      </c>
      <c r="D69">
        <f t="shared" si="5"/>
        <v>12.958746999999997</v>
      </c>
      <c r="I69">
        <v>13.26</v>
      </c>
      <c r="J69">
        <f t="shared" si="6"/>
        <v>114.72953262051621</v>
      </c>
      <c r="K69">
        <f t="shared" si="7"/>
        <v>88.510785620516202</v>
      </c>
    </row>
    <row r="70" spans="1:11">
      <c r="A70">
        <v>1840</v>
      </c>
      <c r="B70">
        <v>31.930265828787601</v>
      </c>
      <c r="C70">
        <v>55.412959000000001</v>
      </c>
      <c r="D70">
        <f t="shared" si="5"/>
        <v>12.958746999999997</v>
      </c>
      <c r="I70">
        <v>13.26</v>
      </c>
      <c r="J70">
        <f t="shared" si="6"/>
        <v>113.56197182878761</v>
      </c>
      <c r="K70">
        <f t="shared" si="7"/>
        <v>87.343224828787598</v>
      </c>
    </row>
    <row r="71" spans="1:11">
      <c r="A71">
        <v>1841</v>
      </c>
      <c r="B71">
        <v>30.7544721176947</v>
      </c>
      <c r="C71">
        <v>55.412959000000001</v>
      </c>
      <c r="D71">
        <f t="shared" si="5"/>
        <v>12.958746999999997</v>
      </c>
      <c r="I71">
        <v>13.26</v>
      </c>
      <c r="J71">
        <f t="shared" si="6"/>
        <v>112.38617811769471</v>
      </c>
      <c r="K71">
        <f t="shared" si="7"/>
        <v>86.167431117694704</v>
      </c>
    </row>
    <row r="72" spans="1:11">
      <c r="A72">
        <v>1842</v>
      </c>
      <c r="B72">
        <v>29.569750693464101</v>
      </c>
      <c r="C72">
        <v>55.412959000000001</v>
      </c>
      <c r="D72">
        <f t="shared" si="5"/>
        <v>12.958746999999997</v>
      </c>
      <c r="I72">
        <v>13.26</v>
      </c>
      <c r="J72">
        <f t="shared" si="6"/>
        <v>111.20145669346411</v>
      </c>
      <c r="K72">
        <f t="shared" si="7"/>
        <v>84.982709693464102</v>
      </c>
    </row>
    <row r="73" spans="1:11">
      <c r="A73">
        <v>1843</v>
      </c>
      <c r="B73">
        <v>28.377191316373501</v>
      </c>
      <c r="C73">
        <v>55.412959000000001</v>
      </c>
      <c r="D73">
        <f t="shared" si="5"/>
        <v>12.958746999999997</v>
      </c>
      <c r="I73">
        <v>13.26</v>
      </c>
      <c r="J73">
        <f t="shared" si="6"/>
        <v>110.00889731637351</v>
      </c>
      <c r="K73">
        <f t="shared" si="7"/>
        <v>83.790150316373499</v>
      </c>
    </row>
    <row r="74" spans="1:11">
      <c r="A74">
        <v>1844</v>
      </c>
      <c r="B74">
        <v>27.175549038932498</v>
      </c>
      <c r="C74">
        <v>55.412959000000001</v>
      </c>
      <c r="D74">
        <f t="shared" si="5"/>
        <v>12.958746999999997</v>
      </c>
      <c r="I74">
        <v>13.26</v>
      </c>
      <c r="J74">
        <f t="shared" si="6"/>
        <v>108.80725503893251</v>
      </c>
      <c r="K74">
        <f t="shared" si="7"/>
        <v>82.588508038932503</v>
      </c>
    </row>
    <row r="75" spans="1:11">
      <c r="A75">
        <v>1845</v>
      </c>
      <c r="B75">
        <v>25.964885945427099</v>
      </c>
      <c r="C75">
        <v>55.412959000000001</v>
      </c>
      <c r="D75">
        <f t="shared" si="5"/>
        <v>12.958746999999997</v>
      </c>
      <c r="I75">
        <v>13.26</v>
      </c>
      <c r="J75">
        <f t="shared" si="6"/>
        <v>107.59659194542711</v>
      </c>
      <c r="K75">
        <f t="shared" si="7"/>
        <v>81.3778449454271</v>
      </c>
    </row>
    <row r="76" spans="1:11">
      <c r="A76">
        <v>1846</v>
      </c>
      <c r="B76">
        <v>24.7251109004292</v>
      </c>
      <c r="C76">
        <v>55.412959000000001</v>
      </c>
      <c r="D76">
        <f t="shared" si="5"/>
        <v>12.958746999999997</v>
      </c>
      <c r="I76">
        <v>13.26</v>
      </c>
      <c r="J76">
        <f t="shared" si="6"/>
        <v>106.35681690042921</v>
      </c>
      <c r="K76">
        <f t="shared" si="7"/>
        <v>80.138069900429201</v>
      </c>
    </row>
    <row r="77" spans="1:11">
      <c r="A77">
        <v>1847</v>
      </c>
      <c r="B77">
        <v>23.501377407643702</v>
      </c>
      <c r="C77">
        <v>55.412959000000001</v>
      </c>
      <c r="D77">
        <f t="shared" si="5"/>
        <v>12.958746999999997</v>
      </c>
      <c r="I77">
        <v>13.26</v>
      </c>
      <c r="J77">
        <f t="shared" si="6"/>
        <v>105.13308340764371</v>
      </c>
      <c r="K77">
        <f t="shared" si="7"/>
        <v>78.914336407643702</v>
      </c>
    </row>
    <row r="78" spans="1:11">
      <c r="A78">
        <v>1848</v>
      </c>
      <c r="B78">
        <v>22.272961311860598</v>
      </c>
      <c r="C78">
        <v>55.412959000000001</v>
      </c>
      <c r="D78">
        <f t="shared" si="5"/>
        <v>12.958746999999997</v>
      </c>
      <c r="I78">
        <v>13.26</v>
      </c>
      <c r="J78">
        <f t="shared" si="6"/>
        <v>103.90466731186061</v>
      </c>
      <c r="K78">
        <f t="shared" si="7"/>
        <v>77.685920311860599</v>
      </c>
    </row>
    <row r="79" spans="1:11">
      <c r="A79">
        <v>1849</v>
      </c>
      <c r="B79">
        <v>21.0399759101123</v>
      </c>
      <c r="C79">
        <v>55.412959000000001</v>
      </c>
      <c r="D79">
        <f t="shared" si="5"/>
        <v>12.958746999999997</v>
      </c>
      <c r="I79">
        <v>13.26</v>
      </c>
      <c r="J79">
        <f t="shared" si="6"/>
        <v>102.67168191011231</v>
      </c>
      <c r="K79">
        <f t="shared" si="7"/>
        <v>76.452934910112305</v>
      </c>
    </row>
    <row r="80" spans="1:11">
      <c r="A80">
        <v>1850</v>
      </c>
      <c r="B80">
        <v>19.8050427642413</v>
      </c>
      <c r="C80">
        <v>55.412959000000001</v>
      </c>
      <c r="D80">
        <f t="shared" si="5"/>
        <v>12.958746999999997</v>
      </c>
      <c r="I80">
        <v>13.26</v>
      </c>
      <c r="J80">
        <f t="shared" si="6"/>
        <v>101.43674876424132</v>
      </c>
      <c r="K80">
        <f t="shared" si="7"/>
        <v>75.218001764241308</v>
      </c>
    </row>
    <row r="81" spans="1:11">
      <c r="A81">
        <v>1851</v>
      </c>
      <c r="B81">
        <v>18.573308400637501</v>
      </c>
      <c r="C81">
        <v>55.412959000000001</v>
      </c>
      <c r="D81">
        <f t="shared" si="5"/>
        <v>12.958746999999997</v>
      </c>
      <c r="I81">
        <v>13.26</v>
      </c>
      <c r="J81">
        <f t="shared" si="6"/>
        <v>100.20501440063751</v>
      </c>
      <c r="K81">
        <f t="shared" si="7"/>
        <v>73.986267400637502</v>
      </c>
    </row>
    <row r="82" spans="1:11">
      <c r="A82">
        <v>1852</v>
      </c>
      <c r="B82">
        <v>17.3460524364456</v>
      </c>
      <c r="C82">
        <v>55.412959000000001</v>
      </c>
      <c r="D82">
        <f t="shared" si="5"/>
        <v>12.958746999999997</v>
      </c>
      <c r="I82">
        <v>13.26</v>
      </c>
      <c r="J82">
        <f t="shared" si="6"/>
        <v>98.977758436445612</v>
      </c>
      <c r="K82">
        <f t="shared" si="7"/>
        <v>72.759011436445604</v>
      </c>
    </row>
    <row r="83" spans="1:11">
      <c r="A83">
        <v>1853</v>
      </c>
      <c r="B83">
        <v>16.127733480580599</v>
      </c>
      <c r="C83">
        <v>55.412959000000001</v>
      </c>
      <c r="D83">
        <f t="shared" si="5"/>
        <v>12.958746999999997</v>
      </c>
      <c r="I83">
        <v>13.26</v>
      </c>
      <c r="J83">
        <f t="shared" si="6"/>
        <v>97.75943948058061</v>
      </c>
      <c r="K83">
        <f t="shared" si="7"/>
        <v>71.540692480580603</v>
      </c>
    </row>
    <row r="84" spans="1:11">
      <c r="A84">
        <v>1854</v>
      </c>
      <c r="B84">
        <v>14.922449298011699</v>
      </c>
      <c r="C84">
        <v>55.412959000000001</v>
      </c>
      <c r="D84">
        <f t="shared" si="5"/>
        <v>12.958746999999997</v>
      </c>
      <c r="I84">
        <v>13.26</v>
      </c>
      <c r="J84">
        <f t="shared" si="6"/>
        <v>96.554155298011707</v>
      </c>
      <c r="K84">
        <f t="shared" si="7"/>
        <v>70.3354082980117</v>
      </c>
    </row>
    <row r="85" spans="1:11">
      <c r="A85">
        <v>1855</v>
      </c>
      <c r="B85">
        <v>13.733587706192001</v>
      </c>
      <c r="C85">
        <v>55.412959000000001</v>
      </c>
      <c r="D85">
        <f t="shared" si="5"/>
        <v>12.958746999999997</v>
      </c>
      <c r="I85">
        <v>13.26</v>
      </c>
      <c r="J85">
        <f t="shared" si="6"/>
        <v>95.365293706192006</v>
      </c>
      <c r="K85">
        <f t="shared" si="7"/>
        <v>69.146546706191998</v>
      </c>
    </row>
    <row r="86" spans="1:11">
      <c r="A86">
        <v>1856</v>
      </c>
      <c r="B86">
        <v>12.568570524816399</v>
      </c>
      <c r="C86">
        <v>55.412959000000001</v>
      </c>
      <c r="D86">
        <f t="shared" si="5"/>
        <v>12.958746999999997</v>
      </c>
      <c r="I86">
        <v>13.26</v>
      </c>
      <c r="J86">
        <f t="shared" si="6"/>
        <v>94.200276524816402</v>
      </c>
      <c r="K86">
        <f t="shared" si="7"/>
        <v>67.981529524816395</v>
      </c>
    </row>
    <row r="87" spans="1:11">
      <c r="A87">
        <v>1857</v>
      </c>
      <c r="B87">
        <v>11.431210103624201</v>
      </c>
      <c r="C87">
        <v>55.412959000000001</v>
      </c>
      <c r="D87">
        <f t="shared" ref="D87:D116" si="8">D86</f>
        <v>12.958746999999997</v>
      </c>
      <c r="I87">
        <v>13.26</v>
      </c>
      <c r="J87">
        <f t="shared" si="6"/>
        <v>93.062916103624204</v>
      </c>
      <c r="K87">
        <f t="shared" si="7"/>
        <v>66.844169103624196</v>
      </c>
    </row>
    <row r="88" spans="1:11">
      <c r="A88">
        <v>1858</v>
      </c>
      <c r="B88">
        <v>10.327527376940401</v>
      </c>
      <c r="C88">
        <v>55.412959000000001</v>
      </c>
      <c r="D88">
        <f t="shared" si="8"/>
        <v>12.958746999999997</v>
      </c>
      <c r="I88">
        <v>13.26</v>
      </c>
      <c r="J88">
        <f t="shared" si="6"/>
        <v>91.959233376940404</v>
      </c>
      <c r="K88">
        <f t="shared" si="7"/>
        <v>65.740486376940396</v>
      </c>
    </row>
    <row r="89" spans="1:11">
      <c r="A89">
        <v>1859</v>
      </c>
      <c r="B89">
        <v>9.2640890369687501</v>
      </c>
      <c r="C89">
        <v>55.412959000000001</v>
      </c>
      <c r="D89">
        <f t="shared" si="8"/>
        <v>12.958746999999997</v>
      </c>
      <c r="I89">
        <v>13.26</v>
      </c>
      <c r="J89">
        <f t="shared" si="6"/>
        <v>90.895795036968764</v>
      </c>
      <c r="K89">
        <f t="shared" si="7"/>
        <v>64.677048036968756</v>
      </c>
    </row>
    <row r="90" spans="1:11">
      <c r="A90">
        <v>1860</v>
      </c>
      <c r="B90">
        <v>8.2448580434242693</v>
      </c>
      <c r="C90">
        <v>55.412959000000001</v>
      </c>
      <c r="D90">
        <f t="shared" si="8"/>
        <v>12.958746999999997</v>
      </c>
      <c r="I90">
        <v>13.26</v>
      </c>
      <c r="J90">
        <f t="shared" si="6"/>
        <v>89.876564043424281</v>
      </c>
      <c r="K90">
        <f t="shared" si="7"/>
        <v>63.657817043424274</v>
      </c>
    </row>
    <row r="91" spans="1:11">
      <c r="A91">
        <v>1861</v>
      </c>
      <c r="B91">
        <v>7.2762680092320897</v>
      </c>
      <c r="C91">
        <v>55.412959000000001</v>
      </c>
      <c r="D91">
        <f t="shared" si="8"/>
        <v>12.958746999999997</v>
      </c>
      <c r="I91">
        <v>13.26</v>
      </c>
      <c r="J91">
        <f t="shared" si="6"/>
        <v>88.907974009232092</v>
      </c>
      <c r="K91">
        <f t="shared" si="7"/>
        <v>62.689227009232091</v>
      </c>
    </row>
    <row r="92" spans="1:11">
      <c r="A92">
        <v>1862</v>
      </c>
      <c r="B92">
        <v>6.3636192855332903</v>
      </c>
      <c r="C92">
        <v>55.412959000000001</v>
      </c>
      <c r="D92">
        <f t="shared" si="8"/>
        <v>12.958746999999997</v>
      </c>
      <c r="I92">
        <v>13.26</v>
      </c>
      <c r="J92">
        <f t="shared" si="6"/>
        <v>87.995325285533298</v>
      </c>
      <c r="K92">
        <f t="shared" si="7"/>
        <v>61.77657828553329</v>
      </c>
    </row>
    <row r="93" spans="1:11">
      <c r="A93">
        <v>1863</v>
      </c>
      <c r="B93">
        <v>5.5106712923185697</v>
      </c>
      <c r="C93">
        <v>55.412959000000001</v>
      </c>
      <c r="D93">
        <f t="shared" si="8"/>
        <v>12.958746999999997</v>
      </c>
      <c r="I93">
        <v>13.26</v>
      </c>
      <c r="J93">
        <f t="shared" si="6"/>
        <v>87.142377292318571</v>
      </c>
      <c r="K93">
        <f t="shared" si="7"/>
        <v>60.92363029231857</v>
      </c>
    </row>
    <row r="94" spans="1:11">
      <c r="A94">
        <v>1864</v>
      </c>
      <c r="B94">
        <v>4.7244036831415004</v>
      </c>
      <c r="C94">
        <v>55.412959000000001</v>
      </c>
      <c r="D94">
        <f t="shared" si="8"/>
        <v>12.958746999999997</v>
      </c>
      <c r="I94">
        <v>13.26</v>
      </c>
      <c r="J94">
        <f t="shared" si="6"/>
        <v>86.356109683141511</v>
      </c>
      <c r="K94">
        <f t="shared" si="7"/>
        <v>60.137362683141504</v>
      </c>
    </row>
    <row r="95" spans="1:11">
      <c r="A95">
        <v>1865</v>
      </c>
      <c r="B95">
        <v>4.0043318752272299</v>
      </c>
      <c r="C95">
        <v>55.412959000000001</v>
      </c>
      <c r="D95">
        <f t="shared" si="8"/>
        <v>12.958746999999997</v>
      </c>
      <c r="I95">
        <v>13.26</v>
      </c>
      <c r="J95">
        <f t="shared" si="6"/>
        <v>85.636037875227231</v>
      </c>
      <c r="K95">
        <f t="shared" si="7"/>
        <v>59.417290875227231</v>
      </c>
    </row>
    <row r="96" spans="1:11">
      <c r="A96">
        <v>1866</v>
      </c>
      <c r="B96">
        <v>3.3541142430178099</v>
      </c>
      <c r="C96">
        <v>55.412959000000001</v>
      </c>
      <c r="D96">
        <f t="shared" si="8"/>
        <v>12.958746999999997</v>
      </c>
      <c r="I96">
        <v>13.26</v>
      </c>
      <c r="J96">
        <f t="shared" si="6"/>
        <v>84.985820243017812</v>
      </c>
      <c r="K96">
        <f t="shared" si="7"/>
        <v>58.767073243017812</v>
      </c>
    </row>
    <row r="97" spans="1:11">
      <c r="A97">
        <v>1867</v>
      </c>
      <c r="B97">
        <v>2.7738965170443</v>
      </c>
      <c r="C97">
        <v>55.412959000000001</v>
      </c>
      <c r="D97">
        <f t="shared" si="8"/>
        <v>12.958746999999997</v>
      </c>
      <c r="I97">
        <v>13.26</v>
      </c>
      <c r="J97">
        <f t="shared" si="6"/>
        <v>84.405602517044301</v>
      </c>
      <c r="K97">
        <f t="shared" si="7"/>
        <v>58.1868555170443</v>
      </c>
    </row>
    <row r="98" spans="1:11">
      <c r="A98">
        <v>1868</v>
      </c>
      <c r="B98">
        <v>2.261361280015</v>
      </c>
      <c r="C98">
        <v>55.412959000000001</v>
      </c>
      <c r="D98">
        <f t="shared" si="8"/>
        <v>12.958746999999997</v>
      </c>
      <c r="I98">
        <v>13.26</v>
      </c>
      <c r="J98">
        <f t="shared" si="6"/>
        <v>83.893067280015003</v>
      </c>
      <c r="K98">
        <f t="shared" si="7"/>
        <v>57.674320280015003</v>
      </c>
    </row>
    <row r="99" spans="1:11">
      <c r="A99">
        <v>1869</v>
      </c>
      <c r="B99">
        <v>1.81709638745403</v>
      </c>
      <c r="C99">
        <v>55.412959000000001</v>
      </c>
      <c r="D99">
        <f t="shared" si="8"/>
        <v>12.958746999999997</v>
      </c>
      <c r="I99">
        <v>13.26</v>
      </c>
      <c r="J99">
        <f t="shared" si="6"/>
        <v>83.448802387454037</v>
      </c>
      <c r="K99">
        <f t="shared" si="7"/>
        <v>57.23005538745403</v>
      </c>
    </row>
    <row r="100" spans="1:11">
      <c r="A100">
        <v>1870</v>
      </c>
      <c r="B100">
        <v>1.43643783262118</v>
      </c>
      <c r="C100">
        <v>55.412959000000001</v>
      </c>
      <c r="D100">
        <f t="shared" si="8"/>
        <v>12.958746999999997</v>
      </c>
      <c r="I100">
        <v>13.26</v>
      </c>
      <c r="J100">
        <f t="shared" ref="J100:J116" si="9">SUM(B100:I100)</f>
        <v>83.068143832621189</v>
      </c>
      <c r="K100">
        <f t="shared" ref="K100:K116" si="10">SUM(B100:C100)</f>
        <v>56.849396832621181</v>
      </c>
    </row>
    <row r="101" spans="1:11">
      <c r="A101">
        <v>1871</v>
      </c>
      <c r="B101">
        <v>1.1160199998481799</v>
      </c>
      <c r="C101">
        <v>55.412959000000001</v>
      </c>
      <c r="D101">
        <f t="shared" si="8"/>
        <v>12.958746999999997</v>
      </c>
      <c r="I101">
        <v>13.26</v>
      </c>
      <c r="J101">
        <f t="shared" si="9"/>
        <v>82.747725999848186</v>
      </c>
      <c r="K101">
        <f t="shared" si="10"/>
        <v>56.528978999848178</v>
      </c>
    </row>
    <row r="102" spans="1:11">
      <c r="A102">
        <v>1872</v>
      </c>
      <c r="B102">
        <v>0.85103208323085999</v>
      </c>
      <c r="C102">
        <v>55.412959000000001</v>
      </c>
      <c r="D102">
        <f t="shared" si="8"/>
        <v>12.958746999999997</v>
      </c>
      <c r="I102">
        <v>13.26</v>
      </c>
      <c r="J102">
        <f t="shared" si="9"/>
        <v>82.482738083230871</v>
      </c>
      <c r="K102">
        <f t="shared" si="10"/>
        <v>56.263991083230863</v>
      </c>
    </row>
    <row r="103" spans="1:11">
      <c r="A103">
        <v>1873</v>
      </c>
      <c r="B103">
        <v>0.63302654530665703</v>
      </c>
      <c r="C103">
        <v>55.412959000000001</v>
      </c>
      <c r="D103">
        <f t="shared" si="8"/>
        <v>12.958746999999997</v>
      </c>
      <c r="I103">
        <v>13.26</v>
      </c>
      <c r="J103">
        <f t="shared" si="9"/>
        <v>82.264732545306657</v>
      </c>
      <c r="K103">
        <f t="shared" si="10"/>
        <v>56.045985545306657</v>
      </c>
    </row>
    <row r="104" spans="1:11">
      <c r="A104">
        <v>1874</v>
      </c>
      <c r="B104">
        <v>0.46092982720049103</v>
      </c>
      <c r="C104">
        <v>55.412959000000001</v>
      </c>
      <c r="D104">
        <f t="shared" si="8"/>
        <v>12.958746999999997</v>
      </c>
      <c r="I104">
        <v>13.26</v>
      </c>
      <c r="J104">
        <f t="shared" si="9"/>
        <v>82.092635827200496</v>
      </c>
      <c r="K104">
        <f t="shared" si="10"/>
        <v>55.873888827200489</v>
      </c>
    </row>
    <row r="105" spans="1:11">
      <c r="A105">
        <v>1875</v>
      </c>
      <c r="B105">
        <v>0.32414656554914001</v>
      </c>
      <c r="C105">
        <v>55.412959000000001</v>
      </c>
      <c r="D105">
        <f t="shared" si="8"/>
        <v>12.958746999999997</v>
      </c>
      <c r="I105">
        <v>13.26</v>
      </c>
      <c r="J105">
        <f t="shared" si="9"/>
        <v>81.955852565549151</v>
      </c>
      <c r="K105">
        <f t="shared" si="10"/>
        <v>55.737105565549143</v>
      </c>
    </row>
    <row r="106" spans="1:11">
      <c r="A106">
        <v>1876</v>
      </c>
      <c r="B106">
        <v>0.22299499188240801</v>
      </c>
      <c r="C106">
        <v>55.412959000000001</v>
      </c>
      <c r="D106">
        <f t="shared" si="8"/>
        <v>12.958746999999997</v>
      </c>
      <c r="I106">
        <v>13.26</v>
      </c>
      <c r="J106">
        <f t="shared" si="9"/>
        <v>81.85470099188241</v>
      </c>
      <c r="K106">
        <f t="shared" si="10"/>
        <v>55.63595399188241</v>
      </c>
    </row>
    <row r="107" spans="1:11">
      <c r="A107">
        <v>1877</v>
      </c>
      <c r="B107">
        <v>0.149120799369614</v>
      </c>
      <c r="C107">
        <v>55.412959000000001</v>
      </c>
      <c r="D107">
        <f t="shared" si="8"/>
        <v>12.958746999999997</v>
      </c>
      <c r="I107">
        <v>13.26</v>
      </c>
      <c r="J107">
        <f t="shared" si="9"/>
        <v>81.780826799369621</v>
      </c>
      <c r="K107">
        <f t="shared" si="10"/>
        <v>55.562079799369613</v>
      </c>
    </row>
    <row r="108" spans="1:11">
      <c r="A108">
        <v>1878</v>
      </c>
      <c r="B108">
        <v>9.71134853641724E-2</v>
      </c>
      <c r="C108">
        <v>55.412959000000001</v>
      </c>
      <c r="D108">
        <f t="shared" si="8"/>
        <v>12.958746999999997</v>
      </c>
      <c r="I108">
        <v>13.26</v>
      </c>
      <c r="J108">
        <f t="shared" si="9"/>
        <v>81.728819485364184</v>
      </c>
      <c r="K108">
        <f t="shared" si="10"/>
        <v>55.510072485364176</v>
      </c>
    </row>
    <row r="109" spans="1:11">
      <c r="A109">
        <v>1879</v>
      </c>
      <c r="B109">
        <v>6.0764101964113401E-2</v>
      </c>
      <c r="C109">
        <v>55.412959000000001</v>
      </c>
      <c r="D109">
        <f t="shared" si="8"/>
        <v>12.958746999999997</v>
      </c>
      <c r="I109">
        <v>13.26</v>
      </c>
      <c r="J109">
        <f t="shared" si="9"/>
        <v>81.692470101964119</v>
      </c>
      <c r="K109">
        <f t="shared" si="10"/>
        <v>55.473723101964111</v>
      </c>
    </row>
    <row r="110" spans="1:11">
      <c r="A110">
        <v>1880</v>
      </c>
      <c r="B110">
        <v>3.5955906983902199E-2</v>
      </c>
      <c r="C110">
        <v>55.412959000000001</v>
      </c>
      <c r="D110">
        <f t="shared" si="8"/>
        <v>12.958746999999997</v>
      </c>
      <c r="I110">
        <v>13.26</v>
      </c>
      <c r="J110">
        <f t="shared" si="9"/>
        <v>81.667661906983909</v>
      </c>
      <c r="K110">
        <f t="shared" si="10"/>
        <v>55.448914906983902</v>
      </c>
    </row>
    <row r="111" spans="1:11">
      <c r="A111">
        <v>1881</v>
      </c>
      <c r="B111">
        <v>1.6122268854821899E-2</v>
      </c>
      <c r="C111">
        <v>55.412959000000001</v>
      </c>
      <c r="D111">
        <f t="shared" si="8"/>
        <v>12.958746999999997</v>
      </c>
      <c r="I111">
        <v>13.26</v>
      </c>
      <c r="J111">
        <f t="shared" si="9"/>
        <v>81.647828268854823</v>
      </c>
      <c r="K111">
        <f t="shared" si="10"/>
        <v>55.429081268854823</v>
      </c>
    </row>
    <row r="112" spans="1:11">
      <c r="A112">
        <v>1882</v>
      </c>
      <c r="B112">
        <v>6.95049381719769E-3</v>
      </c>
      <c r="C112">
        <v>55.412959000000001</v>
      </c>
      <c r="D112">
        <f t="shared" si="8"/>
        <v>12.958746999999997</v>
      </c>
      <c r="I112">
        <v>13.26</v>
      </c>
      <c r="J112">
        <f t="shared" si="9"/>
        <v>81.638656493817209</v>
      </c>
      <c r="K112">
        <f t="shared" si="10"/>
        <v>55.419909493817201</v>
      </c>
    </row>
    <row r="113" spans="1:15">
      <c r="A113">
        <v>1883</v>
      </c>
      <c r="B113">
        <v>3.6414081365392899E-3</v>
      </c>
      <c r="C113">
        <v>55.412959000000001</v>
      </c>
      <c r="D113">
        <f t="shared" si="8"/>
        <v>12.958746999999997</v>
      </c>
      <c r="I113">
        <v>13.26</v>
      </c>
      <c r="J113">
        <f t="shared" si="9"/>
        <v>81.635347408136539</v>
      </c>
      <c r="K113">
        <f t="shared" si="10"/>
        <v>55.416600408136539</v>
      </c>
    </row>
    <row r="114" spans="1:15">
      <c r="A114">
        <v>1884</v>
      </c>
      <c r="B114">
        <v>1.2172689234428E-3</v>
      </c>
      <c r="C114">
        <v>55.412959000000001</v>
      </c>
      <c r="D114">
        <f t="shared" si="8"/>
        <v>12.958746999999997</v>
      </c>
      <c r="I114">
        <v>13.26</v>
      </c>
      <c r="J114">
        <f t="shared" si="9"/>
        <v>81.632923268923449</v>
      </c>
      <c r="K114">
        <f t="shared" si="10"/>
        <v>55.414176268923441</v>
      </c>
    </row>
    <row r="115" spans="1:15">
      <c r="A115">
        <v>1885</v>
      </c>
      <c r="B115">
        <v>2.4749766438305301E-5</v>
      </c>
      <c r="C115">
        <v>55.412959000000001</v>
      </c>
      <c r="D115">
        <f t="shared" si="8"/>
        <v>12.958746999999997</v>
      </c>
      <c r="I115">
        <v>13.26</v>
      </c>
      <c r="J115">
        <f t="shared" si="9"/>
        <v>81.631730749766447</v>
      </c>
      <c r="K115">
        <f t="shared" si="10"/>
        <v>55.41298374976644</v>
      </c>
    </row>
    <row r="116" spans="1:15">
      <c r="A116">
        <v>1886</v>
      </c>
      <c r="B116">
        <v>3.63546737418586E-6</v>
      </c>
      <c r="C116">
        <v>55.412959000000001</v>
      </c>
      <c r="D116">
        <f t="shared" si="8"/>
        <v>12.958746999999997</v>
      </c>
      <c r="I116">
        <v>13.26</v>
      </c>
      <c r="J116">
        <f t="shared" si="9"/>
        <v>81.631709635467374</v>
      </c>
      <c r="K116">
        <f t="shared" si="10"/>
        <v>55.412962635467373</v>
      </c>
    </row>
    <row r="119" spans="1:15">
      <c r="A119" t="s">
        <v>126</v>
      </c>
    </row>
    <row r="120" spans="1:15">
      <c r="B120" t="s">
        <v>16</v>
      </c>
      <c r="D120" t="s">
        <v>125</v>
      </c>
      <c r="E120" t="s">
        <v>124</v>
      </c>
      <c r="F120" t="s">
        <v>123</v>
      </c>
      <c r="G120" t="s">
        <v>122</v>
      </c>
      <c r="J120" t="s">
        <v>58</v>
      </c>
      <c r="K120" t="s">
        <v>121</v>
      </c>
      <c r="L120" t="s">
        <v>120</v>
      </c>
      <c r="M120" t="s">
        <v>119</v>
      </c>
      <c r="N120" t="s">
        <v>118</v>
      </c>
      <c r="O120" t="s">
        <v>117</v>
      </c>
    </row>
    <row r="121" spans="1:15">
      <c r="A121">
        <v>1774</v>
      </c>
      <c r="B121">
        <v>44.541232128467101</v>
      </c>
      <c r="C121">
        <v>47.396762000000003</v>
      </c>
      <c r="I121">
        <v>3.6</v>
      </c>
    </row>
    <row r="122" spans="1:15">
      <c r="A122">
        <v>1775</v>
      </c>
      <c r="B122">
        <v>43.667874635752</v>
      </c>
      <c r="C122">
        <v>47.908762000000003</v>
      </c>
      <c r="I122">
        <v>4.68</v>
      </c>
    </row>
    <row r="123" spans="1:15">
      <c r="A123">
        <v>1776</v>
      </c>
      <c r="B123">
        <v>42.811641799756899</v>
      </c>
      <c r="C123">
        <v>48.420762000000003</v>
      </c>
      <c r="I123">
        <v>3.03</v>
      </c>
    </row>
    <row r="124" spans="1:15">
      <c r="A124">
        <v>1777</v>
      </c>
      <c r="B124">
        <v>42.372197842898899</v>
      </c>
      <c r="C124">
        <v>48.932761999999997</v>
      </c>
      <c r="I124">
        <v>3.87</v>
      </c>
    </row>
    <row r="125" spans="1:15">
      <c r="A125">
        <v>1778</v>
      </c>
      <c r="B125">
        <v>42.831370434214598</v>
      </c>
      <c r="C125">
        <v>49.833762</v>
      </c>
      <c r="I125">
        <v>4.71</v>
      </c>
    </row>
    <row r="126" spans="1:15">
      <c r="A126">
        <v>1779</v>
      </c>
      <c r="B126">
        <v>46.510539641386899</v>
      </c>
      <c r="C126">
        <v>50.345762000000001</v>
      </c>
      <c r="I126">
        <v>5.55</v>
      </c>
    </row>
    <row r="127" spans="1:15">
      <c r="A127">
        <v>1780</v>
      </c>
      <c r="B127">
        <v>52.170568275869499</v>
      </c>
      <c r="C127">
        <v>50.857762000000001</v>
      </c>
      <c r="I127">
        <v>6.39</v>
      </c>
    </row>
    <row r="128" spans="1:15">
      <c r="A128">
        <v>1781</v>
      </c>
      <c r="B128">
        <v>51.147615956734803</v>
      </c>
      <c r="C128">
        <v>51.369762000000001</v>
      </c>
      <c r="I128">
        <v>7.14</v>
      </c>
    </row>
    <row r="129" spans="1:9">
      <c r="A129">
        <v>1782</v>
      </c>
      <c r="B129">
        <v>60.3807215262106</v>
      </c>
      <c r="C129">
        <v>51.369762000000001</v>
      </c>
      <c r="I129">
        <v>7</v>
      </c>
    </row>
    <row r="130" spans="1:9">
      <c r="A130">
        <v>1783</v>
      </c>
      <c r="B130">
        <f t="shared" ref="B130:B177" si="11">B$129*EXP(-0.01724*(A130-1782)-0.00009527*(A130-1782)^2)</f>
        <v>59.343025770315037</v>
      </c>
      <c r="C130">
        <v>51.369762000000001</v>
      </c>
      <c r="I130">
        <v>7</v>
      </c>
    </row>
    <row r="131" spans="1:9">
      <c r="A131">
        <v>1784</v>
      </c>
      <c r="B131">
        <f t="shared" si="11"/>
        <v>58.312051890848188</v>
      </c>
      <c r="C131">
        <v>51.369762000000001</v>
      </c>
    </row>
    <row r="132" spans="1:9">
      <c r="A132">
        <v>1785</v>
      </c>
      <c r="B132">
        <f t="shared" si="11"/>
        <v>57.288072541418053</v>
      </c>
      <c r="C132">
        <v>51.369762000000001</v>
      </c>
    </row>
    <row r="133" spans="1:9">
      <c r="A133">
        <v>1786</v>
      </c>
      <c r="B133">
        <f t="shared" si="11"/>
        <v>56.271351650734694</v>
      </c>
      <c r="C133">
        <v>51.369762000000001</v>
      </c>
    </row>
    <row r="134" spans="1:9">
      <c r="A134">
        <v>1787</v>
      </c>
      <c r="B134">
        <f t="shared" si="11"/>
        <v>55.262144376456583</v>
      </c>
      <c r="C134">
        <v>51.369762000000001</v>
      </c>
    </row>
    <row r="135" spans="1:9">
      <c r="A135">
        <v>1788</v>
      </c>
      <c r="B135">
        <f t="shared" si="11"/>
        <v>54.260697068132529</v>
      </c>
      <c r="C135">
        <v>51.369762000000001</v>
      </c>
    </row>
    <row r="136" spans="1:9">
      <c r="A136">
        <v>1789</v>
      </c>
      <c r="B136">
        <f t="shared" si="11"/>
        <v>53.267247239119577</v>
      </c>
      <c r="C136">
        <v>51.369762000000001</v>
      </c>
    </row>
    <row r="137" spans="1:9">
      <c r="A137">
        <v>1790</v>
      </c>
      <c r="B137">
        <f t="shared" si="11"/>
        <v>52.282023547347855</v>
      </c>
      <c r="C137">
        <v>51.369762000000001</v>
      </c>
    </row>
    <row r="138" spans="1:9">
      <c r="A138">
        <v>1791</v>
      </c>
      <c r="B138">
        <f t="shared" si="11"/>
        <v>51.305245784793804</v>
      </c>
      <c r="C138">
        <v>51.369762000000001</v>
      </c>
    </row>
    <row r="139" spans="1:9">
      <c r="A139">
        <v>1792</v>
      </c>
      <c r="B139">
        <f t="shared" si="11"/>
        <v>50.337124875514306</v>
      </c>
      <c r="C139">
        <v>51.369762000000001</v>
      </c>
    </row>
    <row r="140" spans="1:9">
      <c r="A140">
        <v>1793</v>
      </c>
      <c r="B140">
        <f t="shared" si="11"/>
        <v>49.377862882085559</v>
      </c>
      <c r="C140">
        <v>51.369762000000001</v>
      </c>
    </row>
    <row r="141" spans="1:9">
      <c r="A141">
        <v>1794</v>
      </c>
      <c r="B141">
        <f t="shared" si="11"/>
        <v>48.427653020282449</v>
      </c>
      <c r="C141">
        <v>51.369762000000001</v>
      </c>
    </row>
    <row r="142" spans="1:9">
      <c r="A142">
        <v>1795</v>
      </c>
      <c r="B142">
        <f t="shared" si="11"/>
        <v>47.48667968182631</v>
      </c>
      <c r="C142">
        <v>51.369762000000001</v>
      </c>
    </row>
    <row r="143" spans="1:9">
      <c r="A143">
        <v>1796</v>
      </c>
      <c r="B143">
        <f t="shared" si="11"/>
        <v>46.555118465021572</v>
      </c>
      <c r="C143">
        <v>51.369762000000001</v>
      </c>
    </row>
    <row r="144" spans="1:9">
      <c r="A144">
        <v>1797</v>
      </c>
      <c r="B144">
        <f t="shared" si="11"/>
        <v>45.633136213094744</v>
      </c>
      <c r="C144">
        <v>51.369762000000001</v>
      </c>
    </row>
    <row r="145" spans="1:3">
      <c r="A145">
        <v>1798</v>
      </c>
      <c r="B145">
        <f t="shared" si="11"/>
        <v>44.720891060042931</v>
      </c>
      <c r="C145">
        <v>51.369762000000001</v>
      </c>
    </row>
    <row r="146" spans="1:3">
      <c r="A146">
        <v>1799</v>
      </c>
      <c r="B146">
        <f t="shared" si="11"/>
        <v>43.818532483792318</v>
      </c>
      <c r="C146">
        <v>51.369762000000001</v>
      </c>
    </row>
    <row r="147" spans="1:3">
      <c r="A147">
        <v>1800</v>
      </c>
      <c r="B147">
        <f t="shared" si="11"/>
        <v>42.926201366462067</v>
      </c>
      <c r="C147">
        <v>51.369762000000001</v>
      </c>
    </row>
    <row r="148" spans="1:3">
      <c r="A148">
        <v>1801</v>
      </c>
      <c r="B148">
        <f t="shared" si="11"/>
        <v>42.04403006152323</v>
      </c>
      <c r="C148">
        <v>51.369762000000001</v>
      </c>
    </row>
    <row r="149" spans="1:3">
      <c r="A149">
        <v>1802</v>
      </c>
      <c r="B149">
        <f t="shared" si="11"/>
        <v>41.172142467637528</v>
      </c>
      <c r="C149">
        <v>51.369762000000001</v>
      </c>
    </row>
    <row r="150" spans="1:3">
      <c r="A150">
        <v>1803</v>
      </c>
      <c r="B150">
        <f t="shared" si="11"/>
        <v>40.310654108956633</v>
      </c>
      <c r="C150">
        <v>51.369762000000001</v>
      </c>
    </row>
    <row r="151" spans="1:3">
      <c r="A151">
        <v>1804</v>
      </c>
      <c r="B151">
        <f t="shared" si="11"/>
        <v>39.459672221658195</v>
      </c>
      <c r="C151">
        <v>51.369762000000001</v>
      </c>
    </row>
    <row r="152" spans="1:3">
      <c r="A152">
        <v>1805</v>
      </c>
      <c r="B152">
        <f t="shared" si="11"/>
        <v>38.619295846491426</v>
      </c>
      <c r="C152">
        <v>51.369762000000001</v>
      </c>
    </row>
    <row r="153" spans="1:3">
      <c r="A153">
        <v>1806</v>
      </c>
      <c r="B153">
        <f t="shared" si="11"/>
        <v>37.789615927101977</v>
      </c>
      <c r="C153">
        <v>51.369762000000001</v>
      </c>
    </row>
    <row r="154" spans="1:3">
      <c r="A154">
        <v>1807</v>
      </c>
      <c r="B154">
        <f t="shared" si="11"/>
        <v>36.970715413902738</v>
      </c>
      <c r="C154">
        <v>51.369762000000001</v>
      </c>
    </row>
    <row r="155" spans="1:3">
      <c r="A155">
        <v>1808</v>
      </c>
      <c r="B155">
        <f t="shared" si="11"/>
        <v>36.162669373255113</v>
      </c>
      <c r="C155">
        <v>51.369762000000001</v>
      </c>
    </row>
    <row r="156" spans="1:3">
      <c r="A156">
        <v>1809</v>
      </c>
      <c r="B156">
        <f t="shared" si="11"/>
        <v>35.365545101723207</v>
      </c>
      <c r="C156">
        <v>51.369762000000001</v>
      </c>
    </row>
    <row r="157" spans="1:3">
      <c r="A157">
        <v>1810</v>
      </c>
      <c r="B157">
        <f t="shared" si="11"/>
        <v>34.579402245161887</v>
      </c>
      <c r="C157">
        <v>51.369762000000001</v>
      </c>
    </row>
    <row r="158" spans="1:3">
      <c r="A158">
        <v>1811</v>
      </c>
      <c r="B158">
        <f t="shared" si="11"/>
        <v>33.804292922398311</v>
      </c>
      <c r="C158">
        <v>51.369762000000001</v>
      </c>
    </row>
    <row r="159" spans="1:3">
      <c r="A159">
        <v>1812</v>
      </c>
      <c r="B159">
        <f t="shared" si="11"/>
        <v>33.040261853266124</v>
      </c>
      <c r="C159">
        <v>51.369762000000001</v>
      </c>
    </row>
    <row r="160" spans="1:3">
      <c r="A160">
        <v>1813</v>
      </c>
      <c r="B160">
        <f t="shared" si="11"/>
        <v>32.287346490750508</v>
      </c>
      <c r="C160">
        <v>51.369762000000001</v>
      </c>
    </row>
    <row r="161" spans="1:2">
      <c r="A161">
        <v>1814</v>
      </c>
      <c r="B161">
        <f t="shared" si="11"/>
        <v>31.545577157003024</v>
      </c>
    </row>
    <row r="162" spans="1:2">
      <c r="A162">
        <v>1815</v>
      </c>
      <c r="B162">
        <f t="shared" si="11"/>
        <v>30.814977182984681</v>
      </c>
    </row>
    <row r="163" spans="1:2">
      <c r="A163">
        <v>1816</v>
      </c>
      <c r="B163">
        <f t="shared" si="11"/>
        <v>30.095563051497155</v>
      </c>
    </row>
    <row r="164" spans="1:2">
      <c r="A164">
        <v>1817</v>
      </c>
      <c r="B164">
        <f t="shared" si="11"/>
        <v>29.387344543362325</v>
      </c>
    </row>
    <row r="165" spans="1:2">
      <c r="A165">
        <v>1818</v>
      </c>
      <c r="B165">
        <f t="shared" si="11"/>
        <v>28.690324886512489</v>
      </c>
    </row>
    <row r="166" spans="1:2">
      <c r="A166">
        <v>1819</v>
      </c>
      <c r="B166">
        <f t="shared" si="11"/>
        <v>28.004500907754551</v>
      </c>
    </row>
    <row r="167" spans="1:2">
      <c r="A167">
        <v>1820</v>
      </c>
      <c r="B167">
        <f t="shared" si="11"/>
        <v>27.32986318697408</v>
      </c>
    </row>
    <row r="168" spans="1:2">
      <c r="A168">
        <v>1821</v>
      </c>
      <c r="B168">
        <f t="shared" si="11"/>
        <v>26.66639621354706</v>
      </c>
    </row>
    <row r="169" spans="1:2">
      <c r="A169">
        <v>1822</v>
      </c>
      <c r="B169">
        <f t="shared" si="11"/>
        <v>26.014078544730054</v>
      </c>
    </row>
    <row r="170" spans="1:2">
      <c r="A170">
        <v>1823</v>
      </c>
      <c r="B170">
        <f t="shared" si="11"/>
        <v>25.372882965802184</v>
      </c>
    </row>
    <row r="171" spans="1:2">
      <c r="A171">
        <v>1824</v>
      </c>
      <c r="B171">
        <f t="shared" si="11"/>
        <v>24.742776651735607</v>
      </c>
    </row>
    <row r="172" spans="1:2">
      <c r="A172">
        <v>1825</v>
      </c>
      <c r="B172">
        <f t="shared" si="11"/>
        <v>24.123721330174661</v>
      </c>
    </row>
    <row r="173" spans="1:2">
      <c r="A173">
        <v>1826</v>
      </c>
      <c r="B173">
        <f t="shared" si="11"/>
        <v>23.515673445507296</v>
      </c>
    </row>
    <row r="174" spans="1:2">
      <c r="A174">
        <v>1827</v>
      </c>
      <c r="B174">
        <f t="shared" si="11"/>
        <v>22.918584323816649</v>
      </c>
    </row>
    <row r="175" spans="1:2">
      <c r="A175">
        <v>1828</v>
      </c>
      <c r="B175">
        <f t="shared" si="11"/>
        <v>22.332400338504385</v>
      </c>
    </row>
    <row r="176" spans="1:2">
      <c r="A176">
        <v>1829</v>
      </c>
      <c r="B176">
        <f t="shared" si="11"/>
        <v>21.757063076382146</v>
      </c>
    </row>
    <row r="177" spans="1:2">
      <c r="A177">
        <v>1830</v>
      </c>
      <c r="B177">
        <f t="shared" si="11"/>
        <v>21.192509504031641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63"/>
  <sheetViews>
    <sheetView workbookViewId="0"/>
  </sheetViews>
  <sheetFormatPr defaultRowHeight="12.75"/>
  <sheetData>
    <row r="1" spans="1:103">
      <c r="C1" t="s">
        <v>131</v>
      </c>
      <c r="D1" t="s">
        <v>130</v>
      </c>
    </row>
    <row r="2" spans="1:103">
      <c r="D2">
        <v>8</v>
      </c>
    </row>
    <row r="3" spans="1:103">
      <c r="A3" t="s">
        <v>129</v>
      </c>
      <c r="B3" t="s">
        <v>54</v>
      </c>
    </row>
    <row r="4" spans="1:103">
      <c r="A4">
        <v>0</v>
      </c>
      <c r="B4">
        <v>1</v>
      </c>
      <c r="C4">
        <f>IRR(D4:CY4,0.12)</f>
        <v>8.774314341119753E-2</v>
      </c>
      <c r="D4">
        <f t="shared" ref="D4:D35" si="0">-$D$2</f>
        <v>-8</v>
      </c>
      <c r="E4">
        <v>0.84489999999999998</v>
      </c>
      <c r="F4">
        <v>0.79479999999999995</v>
      </c>
      <c r="G4">
        <v>0.76749999999999996</v>
      </c>
      <c r="H4">
        <v>0.75009999999999999</v>
      </c>
      <c r="I4">
        <v>0.7379</v>
      </c>
      <c r="J4">
        <v>0.72609999999999997</v>
      </c>
      <c r="K4">
        <v>0.71699999999999997</v>
      </c>
      <c r="L4">
        <v>0.70960000000000001</v>
      </c>
      <c r="M4">
        <v>0.70350000000000001</v>
      </c>
      <c r="N4">
        <v>0.69820000000000004</v>
      </c>
      <c r="O4">
        <v>0.69410000000000005</v>
      </c>
      <c r="P4">
        <v>0.69020000000000004</v>
      </c>
      <c r="Q4">
        <v>0.68640000000000001</v>
      </c>
      <c r="R4">
        <v>0.6825</v>
      </c>
      <c r="S4">
        <v>0.67830000000000001</v>
      </c>
      <c r="T4">
        <v>0.6734</v>
      </c>
      <c r="U4">
        <v>0.66820000000000002</v>
      </c>
      <c r="V4">
        <v>0.66279999999999994</v>
      </c>
      <c r="W4">
        <v>0.65710000000000002</v>
      </c>
      <c r="X4">
        <v>0.65110000000000001</v>
      </c>
      <c r="Y4">
        <v>0.64500000000000002</v>
      </c>
      <c r="Z4">
        <v>0.63870000000000005</v>
      </c>
      <c r="AA4">
        <v>0.63229999999999997</v>
      </c>
      <c r="AB4">
        <v>0.62580000000000002</v>
      </c>
      <c r="AC4">
        <v>0.61929999999999996</v>
      </c>
      <c r="AD4">
        <v>0.6129</v>
      </c>
      <c r="AE4">
        <v>0.60650000000000004</v>
      </c>
      <c r="AF4">
        <v>0.60019999999999996</v>
      </c>
      <c r="AG4">
        <v>0.59389999999999998</v>
      </c>
      <c r="AH4">
        <v>0.58779999999999999</v>
      </c>
      <c r="AI4">
        <v>0.58179999999999998</v>
      </c>
      <c r="AJ4">
        <v>0.57599999999999996</v>
      </c>
      <c r="AK4">
        <v>0.57020000000000004</v>
      </c>
      <c r="AL4">
        <v>0.5645</v>
      </c>
      <c r="AM4">
        <v>0.55879999999999996</v>
      </c>
      <c r="AN4">
        <v>0.55330000000000001</v>
      </c>
      <c r="AO4">
        <v>0.54769999999999996</v>
      </c>
      <c r="AP4">
        <v>0.54220000000000002</v>
      </c>
      <c r="AQ4">
        <v>0.53669999999999995</v>
      </c>
      <c r="AR4">
        <v>0.53120000000000001</v>
      </c>
      <c r="AS4">
        <v>0.52559999999999996</v>
      </c>
      <c r="AT4">
        <v>0.52</v>
      </c>
      <c r="AU4">
        <v>0.51429999999999998</v>
      </c>
      <c r="AV4">
        <v>0.50839999999999996</v>
      </c>
      <c r="AW4">
        <v>0.50249999999999995</v>
      </c>
      <c r="AX4">
        <v>0.49640000000000001</v>
      </c>
      <c r="AY4">
        <v>0.49009999999999998</v>
      </c>
      <c r="AZ4">
        <v>0.48359999999999997</v>
      </c>
      <c r="BA4">
        <v>0.47689999999999999</v>
      </c>
      <c r="BB4">
        <v>0.47</v>
      </c>
      <c r="BC4">
        <v>0.46279999999999999</v>
      </c>
      <c r="BD4">
        <v>0.45529999999999998</v>
      </c>
      <c r="BE4">
        <v>0.44750000000000001</v>
      </c>
      <c r="BF4">
        <v>0.43940000000000001</v>
      </c>
      <c r="BG4">
        <v>0.43090000000000001</v>
      </c>
      <c r="BH4">
        <v>0.42209999999999998</v>
      </c>
      <c r="BI4">
        <v>0.41289999999999999</v>
      </c>
      <c r="BJ4">
        <v>0.40329999999999999</v>
      </c>
      <c r="BK4">
        <v>0.39329999999999998</v>
      </c>
      <c r="BL4">
        <v>0.38279999999999997</v>
      </c>
      <c r="BM4">
        <v>0.37190000000000001</v>
      </c>
      <c r="BN4">
        <v>0.36059999999999998</v>
      </c>
      <c r="BO4">
        <v>0.3488</v>
      </c>
      <c r="BP4">
        <v>0.33650000000000002</v>
      </c>
      <c r="BQ4">
        <v>0.32379999999999998</v>
      </c>
      <c r="BR4">
        <v>0.31069999999999998</v>
      </c>
      <c r="BS4">
        <v>0.29709999999999998</v>
      </c>
      <c r="BT4">
        <v>0.28310000000000002</v>
      </c>
      <c r="BU4">
        <v>0.26869999999999999</v>
      </c>
      <c r="BV4">
        <v>0.254</v>
      </c>
      <c r="BW4">
        <v>0.23899999999999999</v>
      </c>
      <c r="BX4">
        <v>0.22370000000000001</v>
      </c>
      <c r="BY4">
        <v>0.20830000000000001</v>
      </c>
      <c r="BZ4">
        <v>0.1928</v>
      </c>
      <c r="CA4">
        <v>0.1772</v>
      </c>
      <c r="CB4">
        <v>0.1618</v>
      </c>
      <c r="CC4">
        <v>0.14649999999999999</v>
      </c>
      <c r="CD4">
        <v>0.13150000000000001</v>
      </c>
      <c r="CE4">
        <v>0.11700000000000001</v>
      </c>
      <c r="CF4">
        <v>0.10299999999999999</v>
      </c>
      <c r="CG4">
        <v>8.9599999999999999E-2</v>
      </c>
      <c r="CH4">
        <v>7.6999999999999999E-2</v>
      </c>
      <c r="CI4">
        <v>6.5299999999999997E-2</v>
      </c>
      <c r="CJ4">
        <v>5.4600000000000003E-2</v>
      </c>
      <c r="CK4">
        <v>4.4900000000000002E-2</v>
      </c>
      <c r="CL4">
        <v>3.6299999999999999E-2</v>
      </c>
      <c r="CM4">
        <v>2.8799999999999999E-2</v>
      </c>
      <c r="CN4">
        <v>2.23E-2</v>
      </c>
      <c r="CO4">
        <v>1.6899999999999998E-2</v>
      </c>
      <c r="CP4">
        <v>1.2500000000000001E-2</v>
      </c>
      <c r="CQ4">
        <v>8.9999999999999993E-3</v>
      </c>
      <c r="CR4">
        <v>6.3E-3</v>
      </c>
      <c r="CS4">
        <v>4.1000000000000003E-3</v>
      </c>
      <c r="CT4">
        <v>2.5999999999999999E-3</v>
      </c>
      <c r="CU4">
        <v>1.1999999999999999E-3</v>
      </c>
      <c r="CV4">
        <v>5.0000000000000001E-4</v>
      </c>
      <c r="CW4">
        <v>2.9999999999999997E-4</v>
      </c>
      <c r="CX4">
        <v>1E-4</v>
      </c>
      <c r="CY4">
        <v>0</v>
      </c>
    </row>
    <row r="5" spans="1:103">
      <c r="A5">
        <v>1</v>
      </c>
      <c r="B5">
        <v>0.84489999999999998</v>
      </c>
      <c r="C5">
        <f>IRR(D5:CY5,0.12)</f>
        <v>0.10369506790778181</v>
      </c>
      <c r="D5">
        <f t="shared" si="0"/>
        <v>-8</v>
      </c>
      <c r="E5">
        <v>0.94070304178009201</v>
      </c>
      <c r="F5">
        <v>0.90839152562433401</v>
      </c>
      <c r="G5">
        <v>0.88779737247011503</v>
      </c>
      <c r="H5">
        <v>0.87335779382175405</v>
      </c>
      <c r="I5">
        <v>0.859391643981536</v>
      </c>
      <c r="J5">
        <v>0.84862113859628396</v>
      </c>
      <c r="K5">
        <v>0.83986270564563903</v>
      </c>
      <c r="L5">
        <v>0.83264291632145804</v>
      </c>
      <c r="M5">
        <v>0.82636998461356403</v>
      </c>
      <c r="N5">
        <v>0.82151733933009796</v>
      </c>
      <c r="O5">
        <v>0.81690140845070403</v>
      </c>
      <c r="P5">
        <v>0.81240383477334599</v>
      </c>
      <c r="Q5">
        <v>0.80778790389395205</v>
      </c>
      <c r="R5">
        <v>0.80281690140845097</v>
      </c>
      <c r="S5">
        <v>0.79701739850869902</v>
      </c>
      <c r="T5">
        <v>0.79086282400284103</v>
      </c>
      <c r="U5">
        <v>0.78447153509291001</v>
      </c>
      <c r="V5">
        <v>0.77772517457687296</v>
      </c>
      <c r="W5">
        <v>0.77062374245472798</v>
      </c>
      <c r="X5">
        <v>0.76340395313054799</v>
      </c>
      <c r="Y5">
        <v>0.75594744940229597</v>
      </c>
      <c r="Z5">
        <v>0.74837258847200805</v>
      </c>
      <c r="AA5">
        <v>0.74067937033968501</v>
      </c>
      <c r="AB5">
        <v>0.73298615220736196</v>
      </c>
      <c r="AC5">
        <v>0.72541129127707404</v>
      </c>
      <c r="AD5">
        <v>0.71783643034678701</v>
      </c>
      <c r="AE5">
        <v>0.710379926618535</v>
      </c>
      <c r="AF5">
        <v>0.70292342289028298</v>
      </c>
      <c r="AG5">
        <v>0.69570363356610299</v>
      </c>
      <c r="AH5">
        <v>0.68860220144395801</v>
      </c>
      <c r="AI5">
        <v>0.68173748372588505</v>
      </c>
      <c r="AJ5">
        <v>0.67487276600781199</v>
      </c>
      <c r="AK5">
        <v>0.66812640549177404</v>
      </c>
      <c r="AL5">
        <v>0.66138004497573699</v>
      </c>
      <c r="AM5">
        <v>0.65487039886377096</v>
      </c>
      <c r="AN5">
        <v>0.64824239554976903</v>
      </c>
      <c r="AO5">
        <v>0.64173274943780301</v>
      </c>
      <c r="AP5">
        <v>0.63522310332583698</v>
      </c>
      <c r="AQ5">
        <v>0.62871345721387195</v>
      </c>
      <c r="AR5">
        <v>0.62208545389987002</v>
      </c>
      <c r="AS5">
        <v>0.61545745058586798</v>
      </c>
      <c r="AT5">
        <v>0.60871109006983104</v>
      </c>
      <c r="AU5">
        <v>0.60172801514972196</v>
      </c>
      <c r="AV5">
        <v>0.59474494022961299</v>
      </c>
      <c r="AW5">
        <v>0.587525150905433</v>
      </c>
      <c r="AX5">
        <v>0.58006864717718098</v>
      </c>
      <c r="AY5">
        <v>0.57237542904485705</v>
      </c>
      <c r="AZ5">
        <v>0.56444549650846298</v>
      </c>
      <c r="BA5">
        <v>0.556278849567996</v>
      </c>
      <c r="BB5">
        <v>0.54775713102142298</v>
      </c>
      <c r="BC5">
        <v>0.53888034086874204</v>
      </c>
      <c r="BD5">
        <v>0.52964847910995405</v>
      </c>
      <c r="BE5">
        <v>0.52006154574505903</v>
      </c>
      <c r="BF5">
        <v>0.51000118357201996</v>
      </c>
      <c r="BG5">
        <v>0.49958574979287501</v>
      </c>
      <c r="BH5">
        <v>0.48869688720558602</v>
      </c>
      <c r="BI5">
        <v>0.47733459581015503</v>
      </c>
      <c r="BJ5">
        <v>0.46549887560658099</v>
      </c>
      <c r="BK5">
        <v>0.45307136939282799</v>
      </c>
      <c r="BL5">
        <v>0.44017043437093201</v>
      </c>
      <c r="BM5">
        <v>0.42679607054089203</v>
      </c>
      <c r="BN5">
        <v>0.41282992070067498</v>
      </c>
      <c r="BO5">
        <v>0.39827198485027798</v>
      </c>
      <c r="BP5">
        <v>0.38324062019173899</v>
      </c>
      <c r="BQ5">
        <v>0.367735826725056</v>
      </c>
      <c r="BR5">
        <v>0.35163924724819501</v>
      </c>
      <c r="BS5">
        <v>0.33506923896319102</v>
      </c>
      <c r="BT5">
        <v>0.31802580187004398</v>
      </c>
      <c r="BU5">
        <v>0.30062729317078901</v>
      </c>
      <c r="BV5">
        <v>0.28287371286542801</v>
      </c>
      <c r="BW5">
        <v>0.26476506095395902</v>
      </c>
      <c r="BX5">
        <v>0.24653805184045499</v>
      </c>
      <c r="BY5">
        <v>0.22819268552491401</v>
      </c>
      <c r="BZ5">
        <v>0.20972896200733801</v>
      </c>
      <c r="CA5">
        <v>0.19150195289383401</v>
      </c>
      <c r="CB5">
        <v>0.173393300982365</v>
      </c>
      <c r="CC5">
        <v>0.15563972067700299</v>
      </c>
      <c r="CD5">
        <v>0.13847792638181999</v>
      </c>
      <c r="CE5">
        <v>0.121907918096816</v>
      </c>
      <c r="CF5">
        <v>0.10604805302402701</v>
      </c>
      <c r="CG5">
        <v>9.1135045567522804E-2</v>
      </c>
      <c r="CH5">
        <v>7.7287252929340702E-2</v>
      </c>
      <c r="CI5">
        <v>6.4623032311516199E-2</v>
      </c>
      <c r="CJ5">
        <v>5.3142383714049002E-2</v>
      </c>
      <c r="CK5">
        <v>4.2963664338974999E-2</v>
      </c>
      <c r="CL5">
        <v>3.4086874186294198E-2</v>
      </c>
      <c r="CM5">
        <v>2.6393656053970899E-2</v>
      </c>
      <c r="CN5">
        <v>2.00023671440407E-2</v>
      </c>
      <c r="CO5">
        <v>1.4794650254468E-2</v>
      </c>
      <c r="CP5">
        <v>1.06521481832169E-2</v>
      </c>
      <c r="CQ5">
        <v>7.4565037282518596E-3</v>
      </c>
      <c r="CR5">
        <v>4.8526452834655003E-3</v>
      </c>
      <c r="CS5">
        <v>3.07728725292934E-3</v>
      </c>
      <c r="CT5">
        <v>1.4202864244289299E-3</v>
      </c>
      <c r="CU5">
        <v>5.9178601017871905E-4</v>
      </c>
      <c r="CV5">
        <v>3.5507160610723199E-4</v>
      </c>
      <c r="CW5">
        <v>1.18357202035744E-4</v>
      </c>
      <c r="CX5">
        <v>0</v>
      </c>
      <c r="CY5">
        <v>0</v>
      </c>
    </row>
    <row r="6" spans="1:103">
      <c r="A6">
        <v>2</v>
      </c>
      <c r="B6">
        <v>0.79479999999999995</v>
      </c>
      <c r="C6">
        <f>IRR(D6:CY6,0.12)</f>
        <v>0.1091727306023475</v>
      </c>
      <c r="D6">
        <f t="shared" si="0"/>
        <v>-8</v>
      </c>
      <c r="E6">
        <v>0.96565173628585799</v>
      </c>
      <c r="F6">
        <v>0.94375943633618498</v>
      </c>
      <c r="G6">
        <v>0.92840966280825399</v>
      </c>
      <c r="H6">
        <v>0.91356316054353304</v>
      </c>
      <c r="I6">
        <v>0.902113739305486</v>
      </c>
      <c r="J6">
        <v>0.892803220936085</v>
      </c>
      <c r="K6">
        <v>0.885128334172119</v>
      </c>
      <c r="L6">
        <v>0.87845998993457497</v>
      </c>
      <c r="M6">
        <v>0.87330145948666305</v>
      </c>
      <c r="N6">
        <v>0.86839456467035703</v>
      </c>
      <c r="O6">
        <v>0.86361348766985402</v>
      </c>
      <c r="P6">
        <v>0.858706592853548</v>
      </c>
      <c r="Q6">
        <v>0.85342224458983396</v>
      </c>
      <c r="R6">
        <v>0.84725717161550096</v>
      </c>
      <c r="S6">
        <v>0.84071464519375905</v>
      </c>
      <c r="T6">
        <v>0.833920483140413</v>
      </c>
      <c r="U6">
        <v>0.82674886763965805</v>
      </c>
      <c r="V6">
        <v>0.81919979869149495</v>
      </c>
      <c r="W6">
        <v>0.81152491192752896</v>
      </c>
      <c r="X6">
        <v>0.80359838953195795</v>
      </c>
      <c r="Y6">
        <v>0.79554604932058404</v>
      </c>
      <c r="Z6">
        <v>0.78736789129340701</v>
      </c>
      <c r="AA6">
        <v>0.77918973326623098</v>
      </c>
      <c r="AB6">
        <v>0.77113739305485696</v>
      </c>
      <c r="AC6">
        <v>0.76308505284348305</v>
      </c>
      <c r="AD6">
        <v>0.75515853044791104</v>
      </c>
      <c r="AE6">
        <v>0.74723200805234002</v>
      </c>
      <c r="AF6">
        <v>0.73955712128837403</v>
      </c>
      <c r="AG6">
        <v>0.73200805234021105</v>
      </c>
      <c r="AH6">
        <v>0.72471061902365397</v>
      </c>
      <c r="AI6">
        <v>0.717413185707096</v>
      </c>
      <c r="AJ6">
        <v>0.71024157020634104</v>
      </c>
      <c r="AK6">
        <v>0.70306995470558598</v>
      </c>
      <c r="AL6">
        <v>0.69614997483643704</v>
      </c>
      <c r="AM6">
        <v>0.68910417715148498</v>
      </c>
      <c r="AN6">
        <v>0.68218419728233504</v>
      </c>
      <c r="AO6">
        <v>0.67526421741318599</v>
      </c>
      <c r="AP6">
        <v>0.66834423754403605</v>
      </c>
      <c r="AQ6">
        <v>0.66129843985908399</v>
      </c>
      <c r="AR6">
        <v>0.65425264217413204</v>
      </c>
      <c r="AS6">
        <v>0.64708102667337697</v>
      </c>
      <c r="AT6">
        <v>0.63965777554101699</v>
      </c>
      <c r="AU6">
        <v>0.63223452440865602</v>
      </c>
      <c r="AV6">
        <v>0.62455963764469102</v>
      </c>
      <c r="AW6">
        <v>0.61663311524911901</v>
      </c>
      <c r="AX6">
        <v>0.60845495722194298</v>
      </c>
      <c r="AY6">
        <v>0.60002516356316105</v>
      </c>
      <c r="AZ6">
        <v>0.59134373427277298</v>
      </c>
      <c r="BA6">
        <v>0.582284851534977</v>
      </c>
      <c r="BB6">
        <v>0.57284851534977399</v>
      </c>
      <c r="BC6">
        <v>0.56303472571716195</v>
      </c>
      <c r="BD6">
        <v>0.552843482637141</v>
      </c>
      <c r="BE6">
        <v>0.54214896829391002</v>
      </c>
      <c r="BF6">
        <v>0.531077000503271</v>
      </c>
      <c r="BG6">
        <v>0.51950176144942095</v>
      </c>
      <c r="BH6">
        <v>0.50742325113235998</v>
      </c>
      <c r="BI6">
        <v>0.49484146955208902</v>
      </c>
      <c r="BJ6">
        <v>0.48163059889280302</v>
      </c>
      <c r="BK6">
        <v>0.46791645697030698</v>
      </c>
      <c r="BL6">
        <v>0.45369904378460002</v>
      </c>
      <c r="BM6">
        <v>0.43885254151987901</v>
      </c>
      <c r="BN6">
        <v>0.42337695017614502</v>
      </c>
      <c r="BO6">
        <v>0.40739808756919998</v>
      </c>
      <c r="BP6">
        <v>0.39091595369904403</v>
      </c>
      <c r="BQ6">
        <v>0.37380473074987403</v>
      </c>
      <c r="BR6">
        <v>0.35619023653749399</v>
      </c>
      <c r="BS6">
        <v>0.33807247106190202</v>
      </c>
      <c r="BT6">
        <v>0.31957725213890298</v>
      </c>
      <c r="BU6">
        <v>0.30070457976849502</v>
      </c>
      <c r="BV6">
        <v>0.28145445395067897</v>
      </c>
      <c r="BW6">
        <v>0.26207851031706098</v>
      </c>
      <c r="BX6">
        <v>0.24257674886764</v>
      </c>
      <c r="BY6">
        <v>0.22294916960241601</v>
      </c>
      <c r="BZ6">
        <v>0.20357322596879701</v>
      </c>
      <c r="CA6">
        <v>0.184323100150981</v>
      </c>
      <c r="CB6">
        <v>0.16545042778057401</v>
      </c>
      <c r="CC6">
        <v>0.14720684448918001</v>
      </c>
      <c r="CD6">
        <v>0.129592350276799</v>
      </c>
      <c r="CE6">
        <v>0.112732762959235</v>
      </c>
      <c r="CF6">
        <v>9.6879718168092599E-2</v>
      </c>
      <c r="CG6">
        <v>8.2159033719174601E-2</v>
      </c>
      <c r="CH6">
        <v>6.8696527428283805E-2</v>
      </c>
      <c r="CI6">
        <v>5.6492199295420202E-2</v>
      </c>
      <c r="CJ6">
        <v>4.5671867136386497E-2</v>
      </c>
      <c r="CK6">
        <v>3.6235530951182697E-2</v>
      </c>
      <c r="CL6">
        <v>2.8057372924006001E-2</v>
      </c>
      <c r="CM6">
        <v>2.1263210870659299E-2</v>
      </c>
      <c r="CN6">
        <v>1.5727226975339698E-2</v>
      </c>
      <c r="CO6">
        <v>1.13236034222446E-2</v>
      </c>
      <c r="CP6">
        <v>7.9265223955712096E-3</v>
      </c>
      <c r="CQ6">
        <v>5.1585304479114203E-3</v>
      </c>
      <c r="CR6">
        <v>3.2712632108706599E-3</v>
      </c>
      <c r="CS6">
        <v>1.50981378963261E-3</v>
      </c>
      <c r="CT6">
        <v>6.2908907901358798E-4</v>
      </c>
      <c r="CU6">
        <v>3.7745344740815299E-4</v>
      </c>
      <c r="CV6">
        <v>1.2581781580271799E-4</v>
      </c>
      <c r="CW6">
        <v>0</v>
      </c>
      <c r="CX6">
        <v>0</v>
      </c>
      <c r="CY6">
        <v>0</v>
      </c>
    </row>
    <row r="7" spans="1:103">
      <c r="A7">
        <v>3</v>
      </c>
      <c r="B7">
        <v>0.76749999999999996</v>
      </c>
      <c r="C7">
        <f>IRR(D7:CY7,0.12)</f>
        <v>0.11197598898579514</v>
      </c>
      <c r="D7">
        <f t="shared" si="0"/>
        <v>-8</v>
      </c>
      <c r="E7">
        <v>0.97732899022801301</v>
      </c>
      <c r="F7">
        <v>0.96143322475570003</v>
      </c>
      <c r="G7">
        <v>0.94605863192182404</v>
      </c>
      <c r="H7">
        <v>0.93420195439739395</v>
      </c>
      <c r="I7">
        <v>0.92456026058631902</v>
      </c>
      <c r="J7">
        <v>0.91661237785016303</v>
      </c>
      <c r="K7">
        <v>0.90970684039088001</v>
      </c>
      <c r="L7">
        <v>0.90436482084690595</v>
      </c>
      <c r="M7">
        <v>0.89928338762214999</v>
      </c>
      <c r="N7">
        <v>0.89433224755700402</v>
      </c>
      <c r="O7">
        <v>0.88925081433224795</v>
      </c>
      <c r="P7">
        <v>0.883778501628665</v>
      </c>
      <c r="Q7">
        <v>0.87739413680781797</v>
      </c>
      <c r="R7">
        <v>0.87061889250814395</v>
      </c>
      <c r="S7">
        <v>0.86358306188925105</v>
      </c>
      <c r="T7">
        <v>0.85615635179153105</v>
      </c>
      <c r="U7">
        <v>0.84833876221498405</v>
      </c>
      <c r="V7">
        <v>0.84039087947882796</v>
      </c>
      <c r="W7">
        <v>0.83218241042345298</v>
      </c>
      <c r="X7">
        <v>0.823843648208469</v>
      </c>
      <c r="Y7">
        <v>0.81537459283387603</v>
      </c>
      <c r="Z7">
        <v>0.80690553745928395</v>
      </c>
      <c r="AA7">
        <v>0.79856677524429998</v>
      </c>
      <c r="AB7">
        <v>0.790228013029316</v>
      </c>
      <c r="AC7">
        <v>0.78201954397394202</v>
      </c>
      <c r="AD7">
        <v>0.77381107491856704</v>
      </c>
      <c r="AE7">
        <v>0.76586319218241095</v>
      </c>
      <c r="AF7">
        <v>0.75804560260586296</v>
      </c>
      <c r="AG7">
        <v>0.75048859934853396</v>
      </c>
      <c r="AH7">
        <v>0.74293159609120596</v>
      </c>
      <c r="AI7">
        <v>0.73550488599348596</v>
      </c>
      <c r="AJ7">
        <v>0.72807817589576596</v>
      </c>
      <c r="AK7">
        <v>0.72091205211726395</v>
      </c>
      <c r="AL7">
        <v>0.71361563517915305</v>
      </c>
      <c r="AM7">
        <v>0.70644951140065204</v>
      </c>
      <c r="AN7">
        <v>0.69928338762215003</v>
      </c>
      <c r="AO7">
        <v>0.69211726384364802</v>
      </c>
      <c r="AP7">
        <v>0.68482084690553702</v>
      </c>
      <c r="AQ7">
        <v>0.67752442996742701</v>
      </c>
      <c r="AR7">
        <v>0.67009771986970701</v>
      </c>
      <c r="AS7">
        <v>0.66241042345276901</v>
      </c>
      <c r="AT7">
        <v>0.65472312703583102</v>
      </c>
      <c r="AU7">
        <v>0.64677524429967403</v>
      </c>
      <c r="AV7">
        <v>0.63856677524429994</v>
      </c>
      <c r="AW7">
        <v>0.63009771986970697</v>
      </c>
      <c r="AX7">
        <v>0.62136807817589601</v>
      </c>
      <c r="AY7">
        <v>0.61237785016286705</v>
      </c>
      <c r="AZ7">
        <v>0.60299674267101</v>
      </c>
      <c r="BA7">
        <v>0.59322475570032596</v>
      </c>
      <c r="BB7">
        <v>0.58306188925081404</v>
      </c>
      <c r="BC7">
        <v>0.57250814332247602</v>
      </c>
      <c r="BD7">
        <v>0.56143322475570001</v>
      </c>
      <c r="BE7">
        <v>0.54996742671009802</v>
      </c>
      <c r="BF7">
        <v>0.53798045602605904</v>
      </c>
      <c r="BG7">
        <v>0.52547231270358297</v>
      </c>
      <c r="BH7">
        <v>0.51244299674267102</v>
      </c>
      <c r="BI7">
        <v>0.49876221498371298</v>
      </c>
      <c r="BJ7">
        <v>0.48456026058631901</v>
      </c>
      <c r="BK7">
        <v>0.46983713355048901</v>
      </c>
      <c r="BL7">
        <v>0.45446254071661202</v>
      </c>
      <c r="BM7">
        <v>0.43843648208469099</v>
      </c>
      <c r="BN7">
        <v>0.42188925081433198</v>
      </c>
      <c r="BO7">
        <v>0.40482084690553799</v>
      </c>
      <c r="BP7">
        <v>0.38710097719869702</v>
      </c>
      <c r="BQ7">
        <v>0.36885993485342</v>
      </c>
      <c r="BR7">
        <v>0.350097719869707</v>
      </c>
      <c r="BS7">
        <v>0.33094462540716602</v>
      </c>
      <c r="BT7">
        <v>0.31140065146579798</v>
      </c>
      <c r="BU7">
        <v>0.29146579804560302</v>
      </c>
      <c r="BV7">
        <v>0.271400651465798</v>
      </c>
      <c r="BW7">
        <v>0.25120521172638399</v>
      </c>
      <c r="BX7">
        <v>0.23087947882736201</v>
      </c>
      <c r="BY7">
        <v>0.210814332247557</v>
      </c>
      <c r="BZ7">
        <v>0.190879478827362</v>
      </c>
      <c r="CA7">
        <v>0.171335504885994</v>
      </c>
      <c r="CB7">
        <v>0.15244299674267101</v>
      </c>
      <c r="CC7">
        <v>0.13420195439739399</v>
      </c>
      <c r="CD7">
        <v>0.11674267100977199</v>
      </c>
      <c r="CE7">
        <v>0.100325732899023</v>
      </c>
      <c r="CF7">
        <v>8.5081433224755698E-2</v>
      </c>
      <c r="CG7">
        <v>7.1140065146579806E-2</v>
      </c>
      <c r="CH7">
        <v>5.8501628664495098E-2</v>
      </c>
      <c r="CI7">
        <v>4.7296416938110798E-2</v>
      </c>
      <c r="CJ7">
        <v>3.7524429967426699E-2</v>
      </c>
      <c r="CK7">
        <v>2.9055374592833898E-2</v>
      </c>
      <c r="CL7">
        <v>2.2019543973941399E-2</v>
      </c>
      <c r="CM7">
        <v>1.62866449511401E-2</v>
      </c>
      <c r="CN7">
        <v>1.17263843648209E-2</v>
      </c>
      <c r="CO7">
        <v>8.2084690553746002E-3</v>
      </c>
      <c r="CP7">
        <v>5.3420195439739396E-3</v>
      </c>
      <c r="CQ7">
        <v>3.3876221498371399E-3</v>
      </c>
      <c r="CR7">
        <v>1.5635179153094499E-3</v>
      </c>
      <c r="CS7">
        <v>6.5146579804560296E-4</v>
      </c>
      <c r="CT7">
        <v>3.9087947882736199E-4</v>
      </c>
      <c r="CU7">
        <v>1.30293159609121E-4</v>
      </c>
      <c r="CV7">
        <v>0</v>
      </c>
    </row>
    <row r="8" spans="1:103">
      <c r="A8">
        <v>4</v>
      </c>
      <c r="B8">
        <v>0.75009999999999999</v>
      </c>
      <c r="C8">
        <f t="shared" ref="C8:C21" si="1">IRR(D8:CY8,0.14)</f>
        <v>0.1135251030466158</v>
      </c>
      <c r="D8">
        <f t="shared" si="0"/>
        <v>-8</v>
      </c>
      <c r="E8">
        <v>0.98373550193307602</v>
      </c>
      <c r="F8">
        <v>0.96800426609785395</v>
      </c>
      <c r="G8">
        <v>0.95587255032662299</v>
      </c>
      <c r="H8">
        <v>0.94600719904012798</v>
      </c>
      <c r="I8">
        <v>0.93787495000666599</v>
      </c>
      <c r="J8">
        <v>0.93080922543660904</v>
      </c>
      <c r="K8">
        <v>0.92534328756165896</v>
      </c>
      <c r="L8">
        <v>0.92014398080255999</v>
      </c>
      <c r="M8">
        <v>0.91507798960138698</v>
      </c>
      <c r="N8">
        <v>0.90987868284228801</v>
      </c>
      <c r="O8">
        <v>0.90427942940941197</v>
      </c>
      <c r="P8">
        <v>0.89774696707105694</v>
      </c>
      <c r="Q8">
        <v>0.89081455805892595</v>
      </c>
      <c r="R8">
        <v>0.88361551793094295</v>
      </c>
      <c r="S8">
        <v>0.87601653112918298</v>
      </c>
      <c r="T8">
        <v>0.86801759765364594</v>
      </c>
      <c r="U8">
        <v>0.85988534862018395</v>
      </c>
      <c r="V8">
        <v>0.85148646847087095</v>
      </c>
      <c r="W8">
        <v>0.842954272763632</v>
      </c>
      <c r="X8">
        <v>0.83428876149846698</v>
      </c>
      <c r="Y8">
        <v>0.82562325023330196</v>
      </c>
      <c r="Z8">
        <v>0.81709105452606301</v>
      </c>
      <c r="AA8">
        <v>0.80855885881882394</v>
      </c>
      <c r="AB8">
        <v>0.80015997866951105</v>
      </c>
      <c r="AC8">
        <v>0.79176109852019705</v>
      </c>
      <c r="AD8">
        <v>0.78362884948673495</v>
      </c>
      <c r="AE8">
        <v>0.77562991601119902</v>
      </c>
      <c r="AF8">
        <v>0.76789761365151299</v>
      </c>
      <c r="AG8">
        <v>0.76016531129182796</v>
      </c>
      <c r="AH8">
        <v>0.75256632449006799</v>
      </c>
      <c r="AI8">
        <v>0.74496733768830803</v>
      </c>
      <c r="AJ8">
        <v>0.73763498200239996</v>
      </c>
      <c r="AK8">
        <v>0.73016931075856595</v>
      </c>
      <c r="AL8">
        <v>0.72283695507265699</v>
      </c>
      <c r="AM8">
        <v>0.71550459938674804</v>
      </c>
      <c r="AN8">
        <v>0.70817224370083998</v>
      </c>
      <c r="AO8">
        <v>0.70070657245700596</v>
      </c>
      <c r="AP8">
        <v>0.69324090121317195</v>
      </c>
      <c r="AQ8">
        <v>0.68564191441141198</v>
      </c>
      <c r="AR8">
        <v>0.677776296493801</v>
      </c>
      <c r="AS8">
        <v>0.66991067857619002</v>
      </c>
      <c r="AT8">
        <v>0.66177842954272803</v>
      </c>
      <c r="AU8">
        <v>0.65337954939341403</v>
      </c>
      <c r="AV8">
        <v>0.64471403812824901</v>
      </c>
      <c r="AW8">
        <v>0.63578189574723398</v>
      </c>
      <c r="AX8">
        <v>0.62658312225036705</v>
      </c>
      <c r="AY8">
        <v>0.61698440207972305</v>
      </c>
      <c r="AZ8">
        <v>0.60698573523530197</v>
      </c>
      <c r="BA8">
        <v>0.59658712171710404</v>
      </c>
      <c r="BB8">
        <v>0.58578856152513004</v>
      </c>
      <c r="BC8">
        <v>0.57445673910145301</v>
      </c>
      <c r="BD8">
        <v>0.56272497000399901</v>
      </c>
      <c r="BE8">
        <v>0.550459938674843</v>
      </c>
      <c r="BF8">
        <v>0.53766164511398495</v>
      </c>
      <c r="BG8">
        <v>0.524330089321424</v>
      </c>
      <c r="BH8">
        <v>0.51033195573923495</v>
      </c>
      <c r="BI8">
        <v>0.495800559925343</v>
      </c>
      <c r="BJ8">
        <v>0.48073590187974902</v>
      </c>
      <c r="BK8">
        <v>0.465004666044527</v>
      </c>
      <c r="BL8">
        <v>0.44860685241967702</v>
      </c>
      <c r="BM8">
        <v>0.431675776563125</v>
      </c>
      <c r="BN8">
        <v>0.41421143847487002</v>
      </c>
      <c r="BO8">
        <v>0.39608052259698701</v>
      </c>
      <c r="BP8">
        <v>0.37741634448740202</v>
      </c>
      <c r="BQ8">
        <v>0.35821890414611401</v>
      </c>
      <c r="BR8">
        <v>0.33862151713104899</v>
      </c>
      <c r="BS8">
        <v>0.318624183442208</v>
      </c>
      <c r="BT8">
        <v>0.29822690307958899</v>
      </c>
      <c r="BU8">
        <v>0.27769630715904497</v>
      </c>
      <c r="BV8">
        <v>0.25703239568057601</v>
      </c>
      <c r="BW8">
        <v>0.23623516864418101</v>
      </c>
      <c r="BX8">
        <v>0.21570457272363699</v>
      </c>
      <c r="BY8">
        <v>0.19530729236101901</v>
      </c>
      <c r="BZ8">
        <v>0.175309958672177</v>
      </c>
      <c r="CA8">
        <v>0.15597920277296401</v>
      </c>
      <c r="CB8">
        <v>0.137315024663378</v>
      </c>
      <c r="CC8">
        <v>0.119450739901347</v>
      </c>
      <c r="CD8">
        <v>0.10265297960272</v>
      </c>
      <c r="CE8">
        <v>8.7055059325423303E-2</v>
      </c>
      <c r="CF8">
        <v>7.2790294627382998E-2</v>
      </c>
      <c r="CG8">
        <v>5.9858685508598901E-2</v>
      </c>
      <c r="CH8">
        <v>4.83935475269964E-2</v>
      </c>
      <c r="CI8">
        <v>3.8394880682575697E-2</v>
      </c>
      <c r="CJ8">
        <v>2.9729369417411E-2</v>
      </c>
      <c r="CK8">
        <v>2.2530329289428101E-2</v>
      </c>
      <c r="CL8">
        <v>1.6664444740701199E-2</v>
      </c>
      <c r="CM8">
        <v>1.1998400213304901E-2</v>
      </c>
      <c r="CN8">
        <v>8.3988801493134306E-3</v>
      </c>
      <c r="CO8">
        <v>5.4659378749500097E-3</v>
      </c>
      <c r="CP8">
        <v>3.4662045060658599E-3</v>
      </c>
      <c r="CQ8">
        <v>1.59978669510732E-3</v>
      </c>
      <c r="CR8">
        <v>6.6657778962805002E-4</v>
      </c>
      <c r="CS8">
        <v>3.9994667377682999E-4</v>
      </c>
      <c r="CT8">
        <v>1.3331555792560999E-4</v>
      </c>
      <c r="CU8">
        <v>0</v>
      </c>
    </row>
    <row r="9" spans="1:103">
      <c r="A9">
        <v>5</v>
      </c>
      <c r="B9">
        <v>0.7379</v>
      </c>
      <c r="C9">
        <f t="shared" si="1"/>
        <v>0.11437679452218338</v>
      </c>
      <c r="D9">
        <f t="shared" si="0"/>
        <v>-8</v>
      </c>
      <c r="E9">
        <v>0.98400867326195995</v>
      </c>
      <c r="F9">
        <v>0.97167637891313197</v>
      </c>
      <c r="G9">
        <v>0.961647919772327</v>
      </c>
      <c r="H9">
        <v>0.95338121696706901</v>
      </c>
      <c r="I9">
        <v>0.94619867190676299</v>
      </c>
      <c r="J9">
        <v>0.94064236346388397</v>
      </c>
      <c r="K9">
        <v>0.93535709445724402</v>
      </c>
      <c r="L9">
        <v>0.93020734516872206</v>
      </c>
      <c r="M9">
        <v>0.924922076162082</v>
      </c>
      <c r="N9">
        <v>0.91923024800108399</v>
      </c>
      <c r="O9">
        <v>0.91258978181325401</v>
      </c>
      <c r="P9">
        <v>0.90554275647106697</v>
      </c>
      <c r="Q9">
        <v>0.89822469169264196</v>
      </c>
      <c r="R9">
        <v>0.89050006775985902</v>
      </c>
      <c r="S9">
        <v>0.88236888467272001</v>
      </c>
      <c r="T9">
        <v>0.87410218186746202</v>
      </c>
      <c r="U9">
        <v>0.86556443962596596</v>
      </c>
      <c r="V9">
        <v>0.85689117766635103</v>
      </c>
      <c r="W9">
        <v>0.84808239598861701</v>
      </c>
      <c r="X9">
        <v>0.83927361431088199</v>
      </c>
      <c r="Y9">
        <v>0.83060035235126695</v>
      </c>
      <c r="Z9">
        <v>0.82192709039165202</v>
      </c>
      <c r="AA9">
        <v>0.81338934815015596</v>
      </c>
      <c r="AB9">
        <v>0.80485160590866001</v>
      </c>
      <c r="AC9">
        <v>0.79658490310340202</v>
      </c>
      <c r="AD9">
        <v>0.78845372001626202</v>
      </c>
      <c r="AE9">
        <v>0.78059357636536097</v>
      </c>
      <c r="AF9">
        <v>0.77273343271446004</v>
      </c>
      <c r="AG9">
        <v>0.76500880878167798</v>
      </c>
      <c r="AH9">
        <v>0.75728418484889604</v>
      </c>
      <c r="AI9">
        <v>0.74983060035235205</v>
      </c>
      <c r="AJ9">
        <v>0.74224149613768797</v>
      </c>
      <c r="AK9">
        <v>0.73478791164114399</v>
      </c>
      <c r="AL9">
        <v>0.7273343271446</v>
      </c>
      <c r="AM9">
        <v>0.71988074264805502</v>
      </c>
      <c r="AN9">
        <v>0.71229163843339205</v>
      </c>
      <c r="AO9">
        <v>0.70470253421872897</v>
      </c>
      <c r="AP9">
        <v>0.69697791028594702</v>
      </c>
      <c r="AQ9">
        <v>0.688982246916926</v>
      </c>
      <c r="AR9">
        <v>0.68098658354790598</v>
      </c>
      <c r="AS9">
        <v>0.67271988074264799</v>
      </c>
      <c r="AT9">
        <v>0.66418213850115204</v>
      </c>
      <c r="AU9">
        <v>0.65537335682341802</v>
      </c>
      <c r="AV9">
        <v>0.64629353570944603</v>
      </c>
      <c r="AW9">
        <v>0.63694267515923597</v>
      </c>
      <c r="AX9">
        <v>0.62718525545466897</v>
      </c>
      <c r="AY9">
        <v>0.61702127659574502</v>
      </c>
      <c r="AZ9">
        <v>0.60645073858246401</v>
      </c>
      <c r="BA9">
        <v>0.59547364141482595</v>
      </c>
      <c r="BB9">
        <v>0.58395446537471196</v>
      </c>
      <c r="BC9">
        <v>0.57202873018024103</v>
      </c>
      <c r="BD9">
        <v>0.55956091611329495</v>
      </c>
      <c r="BE9">
        <v>0.54655102317387205</v>
      </c>
      <c r="BF9">
        <v>0.53299905136197301</v>
      </c>
      <c r="BG9">
        <v>0.51876948095947994</v>
      </c>
      <c r="BH9">
        <v>0.50399783168450996</v>
      </c>
      <c r="BI9">
        <v>0.48868410353706498</v>
      </c>
      <c r="BJ9">
        <v>0.47269277679902399</v>
      </c>
      <c r="BK9">
        <v>0.45602385147038899</v>
      </c>
      <c r="BL9">
        <v>0.43881284726927799</v>
      </c>
      <c r="BM9">
        <v>0.42105976419569102</v>
      </c>
      <c r="BN9">
        <v>0.40262908253150798</v>
      </c>
      <c r="BO9">
        <v>0.38365632199485</v>
      </c>
      <c r="BP9">
        <v>0.36414148258571599</v>
      </c>
      <c r="BQ9">
        <v>0.34422008402222498</v>
      </c>
      <c r="BR9">
        <v>0.32389212630437703</v>
      </c>
      <c r="BS9">
        <v>0.30315760943217201</v>
      </c>
      <c r="BT9">
        <v>0.28228757284184802</v>
      </c>
      <c r="BU9">
        <v>0.26128201653340599</v>
      </c>
      <c r="BV9">
        <v>0.24014094050684401</v>
      </c>
      <c r="BW9">
        <v>0.21927090391651999</v>
      </c>
      <c r="BX9">
        <v>0.198536387044315</v>
      </c>
      <c r="BY9">
        <v>0.17820842932646699</v>
      </c>
      <c r="BZ9">
        <v>0.158558070199214</v>
      </c>
      <c r="CA9">
        <v>0.139585309662556</v>
      </c>
      <c r="CB9">
        <v>0.121425667434612</v>
      </c>
      <c r="CC9">
        <v>0.10435018295161901</v>
      </c>
      <c r="CD9">
        <v>8.8494375931698094E-2</v>
      </c>
      <c r="CE9">
        <v>7.3993766092966498E-2</v>
      </c>
      <c r="CF9">
        <v>6.0848353435424898E-2</v>
      </c>
      <c r="CG9">
        <v>4.9193657677191999E-2</v>
      </c>
      <c r="CH9">
        <v>3.9029678818268097E-2</v>
      </c>
      <c r="CI9">
        <v>3.0220897140534001E-2</v>
      </c>
      <c r="CJ9">
        <v>2.2902832362108699E-2</v>
      </c>
      <c r="CK9">
        <v>1.6939964764873298E-2</v>
      </c>
      <c r="CL9">
        <v>1.21967746307088E-2</v>
      </c>
      <c r="CM9">
        <v>8.53774224149614E-3</v>
      </c>
      <c r="CN9">
        <v>5.5563084428784399E-3</v>
      </c>
      <c r="CO9">
        <v>3.5235126710936402E-3</v>
      </c>
      <c r="CP9">
        <v>1.6262366174278401E-3</v>
      </c>
      <c r="CQ9">
        <v>6.7759859059493197E-4</v>
      </c>
      <c r="CR9">
        <v>4.0655915435695899E-4</v>
      </c>
      <c r="CS9">
        <v>1.35519718118986E-4</v>
      </c>
      <c r="CT9">
        <v>0</v>
      </c>
    </row>
    <row r="10" spans="1:103">
      <c r="A10">
        <v>6</v>
      </c>
      <c r="B10">
        <v>0.72609999999999997</v>
      </c>
      <c r="C10">
        <f t="shared" si="1"/>
        <v>0.11530294665468671</v>
      </c>
      <c r="D10">
        <f t="shared" si="0"/>
        <v>-8</v>
      </c>
      <c r="E10">
        <v>0.98746729100674802</v>
      </c>
      <c r="F10">
        <v>0.97727585731992905</v>
      </c>
      <c r="G10">
        <v>0.96887481063214398</v>
      </c>
      <c r="H10">
        <v>0.96157554055915195</v>
      </c>
      <c r="I10">
        <v>0.955928935408346</v>
      </c>
      <c r="J10">
        <v>0.95055777441123801</v>
      </c>
      <c r="K10">
        <v>0.94532433549097905</v>
      </c>
      <c r="L10">
        <v>0.93995317449387195</v>
      </c>
      <c r="M10">
        <v>0.93416884726621696</v>
      </c>
      <c r="N10">
        <v>0.92742046550061996</v>
      </c>
      <c r="O10">
        <v>0.92025891750447597</v>
      </c>
      <c r="P10">
        <v>0.91282192535463402</v>
      </c>
      <c r="Q10">
        <v>0.90497176697424597</v>
      </c>
      <c r="R10">
        <v>0.89670844236331104</v>
      </c>
      <c r="S10">
        <v>0.88830739567552697</v>
      </c>
      <c r="T10">
        <v>0.87963090483404505</v>
      </c>
      <c r="U10">
        <v>0.87081669191571398</v>
      </c>
      <c r="V10">
        <v>0.86186475692053399</v>
      </c>
      <c r="W10">
        <v>0.852912821925355</v>
      </c>
      <c r="X10">
        <v>0.84409860900702405</v>
      </c>
      <c r="Y10">
        <v>0.83528439608869298</v>
      </c>
      <c r="Z10">
        <v>0.82660790524721095</v>
      </c>
      <c r="AA10">
        <v>0.81793141440572903</v>
      </c>
      <c r="AB10">
        <v>0.80953036771794495</v>
      </c>
      <c r="AC10">
        <v>0.80126704310701002</v>
      </c>
      <c r="AD10">
        <v>0.79327916264977305</v>
      </c>
      <c r="AE10">
        <v>0.78529128219253597</v>
      </c>
      <c r="AF10">
        <v>0.77744112381214703</v>
      </c>
      <c r="AG10">
        <v>0.76959096543175898</v>
      </c>
      <c r="AH10">
        <v>0.762016251205069</v>
      </c>
      <c r="AI10">
        <v>0.75430381490152898</v>
      </c>
      <c r="AJ10">
        <v>0.746729100674838</v>
      </c>
      <c r="AK10">
        <v>0.73915438644814802</v>
      </c>
      <c r="AL10">
        <v>0.73157967222145703</v>
      </c>
      <c r="AM10">
        <v>0.72386723591791702</v>
      </c>
      <c r="AN10">
        <v>0.716154799614378</v>
      </c>
      <c r="AO10">
        <v>0.70830464123398995</v>
      </c>
      <c r="AP10">
        <v>0.70017903869990405</v>
      </c>
      <c r="AQ10">
        <v>0.69205343616581705</v>
      </c>
      <c r="AR10">
        <v>0.68365238947803297</v>
      </c>
      <c r="AS10">
        <v>0.67497589863655105</v>
      </c>
      <c r="AT10">
        <v>0.66602396364137195</v>
      </c>
      <c r="AU10">
        <v>0.65679658449249401</v>
      </c>
      <c r="AV10">
        <v>0.64729376118991899</v>
      </c>
      <c r="AW10">
        <v>0.63737777165679699</v>
      </c>
      <c r="AX10">
        <v>0.62704861589312799</v>
      </c>
      <c r="AY10">
        <v>0.61630629389891201</v>
      </c>
      <c r="AZ10">
        <v>0.60515080567414903</v>
      </c>
      <c r="BA10">
        <v>0.59344442914199103</v>
      </c>
      <c r="BB10">
        <v>0.58132488637928603</v>
      </c>
      <c r="BC10">
        <v>0.56865445530918601</v>
      </c>
      <c r="BD10">
        <v>0.55543313593168997</v>
      </c>
      <c r="BE10">
        <v>0.54166092824679801</v>
      </c>
      <c r="BF10">
        <v>0.527200110177661</v>
      </c>
      <c r="BG10">
        <v>0.51218840380112896</v>
      </c>
      <c r="BH10">
        <v>0.496625809117201</v>
      </c>
      <c r="BI10">
        <v>0.48037460404902899</v>
      </c>
      <c r="BJ10">
        <v>0.46343478859661202</v>
      </c>
      <c r="BK10">
        <v>0.44594408483679898</v>
      </c>
      <c r="BL10">
        <v>0.42790249276959103</v>
      </c>
      <c r="BM10">
        <v>0.40917229031813801</v>
      </c>
      <c r="BN10">
        <v>0.38989119955928903</v>
      </c>
      <c r="BO10">
        <v>0.37005922049304502</v>
      </c>
      <c r="BP10">
        <v>0.34981407519625402</v>
      </c>
      <c r="BQ10">
        <v>0.32915576366891602</v>
      </c>
      <c r="BR10">
        <v>0.30808428591103099</v>
      </c>
      <c r="BS10">
        <v>0.28687508607629802</v>
      </c>
      <c r="BT10">
        <v>0.26552816416471597</v>
      </c>
      <c r="BU10">
        <v>0.244043520176284</v>
      </c>
      <c r="BV10">
        <v>0.22283432034155101</v>
      </c>
      <c r="BW10">
        <v>0.201762842583666</v>
      </c>
      <c r="BX10">
        <v>0.18110453105632801</v>
      </c>
      <c r="BY10">
        <v>0.16113482991323499</v>
      </c>
      <c r="BZ10">
        <v>0.14185373915438601</v>
      </c>
      <c r="CA10">
        <v>0.12339898085663099</v>
      </c>
      <c r="CB10">
        <v>0.106045999173668</v>
      </c>
      <c r="CC10">
        <v>8.9932516182344005E-2</v>
      </c>
      <c r="CD10">
        <v>7.5196253959509698E-2</v>
      </c>
      <c r="CE10">
        <v>6.18372125051646E-2</v>
      </c>
      <c r="CF10">
        <v>4.9993113896157598E-2</v>
      </c>
      <c r="CG10">
        <v>3.96639581324887E-2</v>
      </c>
      <c r="CH10">
        <v>3.0712023137308898E-2</v>
      </c>
      <c r="CI10">
        <v>2.3275030987467301E-2</v>
      </c>
      <c r="CJ10">
        <v>1.7215259606114901E-2</v>
      </c>
      <c r="CK10">
        <v>1.23949869164027E-2</v>
      </c>
      <c r="CL10">
        <v>8.6764908414818896E-3</v>
      </c>
      <c r="CM10">
        <v>5.6466051508056803E-3</v>
      </c>
      <c r="CN10">
        <v>3.5807739980718901E-3</v>
      </c>
      <c r="CO10">
        <v>1.65266492218703E-3</v>
      </c>
      <c r="CP10">
        <v>6.88610384244595E-4</v>
      </c>
      <c r="CQ10">
        <v>4.13166230546757E-4</v>
      </c>
      <c r="CR10">
        <v>1.37722076848919E-4</v>
      </c>
      <c r="CS10">
        <v>0</v>
      </c>
    </row>
    <row r="11" spans="1:103">
      <c r="A11">
        <v>7</v>
      </c>
      <c r="B11">
        <v>0.71699999999999997</v>
      </c>
      <c r="C11">
        <f t="shared" si="1"/>
        <v>0.11585912103292409</v>
      </c>
      <c r="D11">
        <f t="shared" si="0"/>
        <v>-8</v>
      </c>
      <c r="E11">
        <v>0.98967921896792199</v>
      </c>
      <c r="F11">
        <v>0.98117154811715501</v>
      </c>
      <c r="G11">
        <v>0.97377963737796402</v>
      </c>
      <c r="H11">
        <v>0.96806136680613697</v>
      </c>
      <c r="I11">
        <v>0.96262203626220399</v>
      </c>
      <c r="J11">
        <v>0.95732217573221801</v>
      </c>
      <c r="K11">
        <v>0.95188284518828503</v>
      </c>
      <c r="L11">
        <v>0.94602510460251099</v>
      </c>
      <c r="M11">
        <v>0.93919107391910805</v>
      </c>
      <c r="N11">
        <v>0.93193863319386305</v>
      </c>
      <c r="O11">
        <v>0.92440725244072497</v>
      </c>
      <c r="P11">
        <v>0.91645746164574604</v>
      </c>
      <c r="Q11">
        <v>0.90808926080892605</v>
      </c>
      <c r="R11">
        <v>0.89958158995815896</v>
      </c>
      <c r="S11">
        <v>0.89079497907949801</v>
      </c>
      <c r="T11">
        <v>0.88186889818688996</v>
      </c>
      <c r="U11">
        <v>0.87280334728033504</v>
      </c>
      <c r="V11">
        <v>0.86373779637378001</v>
      </c>
      <c r="W11">
        <v>0.85481171548117196</v>
      </c>
      <c r="X11">
        <v>0.84588563458856303</v>
      </c>
      <c r="Y11">
        <v>0.83709902370990197</v>
      </c>
      <c r="Z11">
        <v>0.82831241283124102</v>
      </c>
      <c r="AA11">
        <v>0.81980474198047404</v>
      </c>
      <c r="AB11">
        <v>0.81143654114365404</v>
      </c>
      <c r="AC11">
        <v>0.80334728033472802</v>
      </c>
      <c r="AD11">
        <v>0.795258019525802</v>
      </c>
      <c r="AE11">
        <v>0.78730822873082296</v>
      </c>
      <c r="AF11">
        <v>0.77935843793584403</v>
      </c>
      <c r="AG11">
        <v>0.77168758716875896</v>
      </c>
      <c r="AH11">
        <v>0.76387726638772702</v>
      </c>
      <c r="AI11">
        <v>0.75620641562064195</v>
      </c>
      <c r="AJ11">
        <v>0.74853556485355599</v>
      </c>
      <c r="AK11">
        <v>0.74086471408647103</v>
      </c>
      <c r="AL11">
        <v>0.73305439330543898</v>
      </c>
      <c r="AM11">
        <v>0.72524407252440704</v>
      </c>
      <c r="AN11">
        <v>0.717294281729428</v>
      </c>
      <c r="AO11">
        <v>0.70906555090655499</v>
      </c>
      <c r="AP11">
        <v>0.70083682008368198</v>
      </c>
      <c r="AQ11">
        <v>0.692329149232915</v>
      </c>
      <c r="AR11">
        <v>0.68354253835425405</v>
      </c>
      <c r="AS11">
        <v>0.67447698744769902</v>
      </c>
      <c r="AT11">
        <v>0.66513249651325002</v>
      </c>
      <c r="AU11">
        <v>0.65550906555090604</v>
      </c>
      <c r="AV11">
        <v>0.64546722454672201</v>
      </c>
      <c r="AW11">
        <v>0.63500697350069701</v>
      </c>
      <c r="AX11">
        <v>0.62412831241283095</v>
      </c>
      <c r="AY11">
        <v>0.61283124128312405</v>
      </c>
      <c r="AZ11">
        <v>0.60097629009762898</v>
      </c>
      <c r="BA11">
        <v>0.58870292887029296</v>
      </c>
      <c r="BB11">
        <v>0.575871687587169</v>
      </c>
      <c r="BC11">
        <v>0.56248256624825599</v>
      </c>
      <c r="BD11">
        <v>0.54853556485355603</v>
      </c>
      <c r="BE11">
        <v>0.53389121338912104</v>
      </c>
      <c r="BF11">
        <v>0.518688981868898</v>
      </c>
      <c r="BG11">
        <v>0.50292887029288702</v>
      </c>
      <c r="BH11">
        <v>0.486471408647141</v>
      </c>
      <c r="BI11">
        <v>0.46931659693166</v>
      </c>
      <c r="BJ11">
        <v>0.45160390516039001</v>
      </c>
      <c r="BK11">
        <v>0.43333333333333302</v>
      </c>
      <c r="BL11">
        <v>0.41436541143654099</v>
      </c>
      <c r="BM11">
        <v>0.39483960948396102</v>
      </c>
      <c r="BN11">
        <v>0.374755927475593</v>
      </c>
      <c r="BO11">
        <v>0.35425383542538302</v>
      </c>
      <c r="BP11">
        <v>0.33333333333333298</v>
      </c>
      <c r="BQ11">
        <v>0.31199442119944198</v>
      </c>
      <c r="BR11">
        <v>0.290516039051604</v>
      </c>
      <c r="BS11">
        <v>0.26889818688981798</v>
      </c>
      <c r="BT11">
        <v>0.247140864714086</v>
      </c>
      <c r="BU11">
        <v>0.22566248256624799</v>
      </c>
      <c r="BV11">
        <v>0.20432357043235699</v>
      </c>
      <c r="BW11">
        <v>0.18340306834030701</v>
      </c>
      <c r="BX11">
        <v>0.163179916317992</v>
      </c>
      <c r="BY11">
        <v>0.14365411436541101</v>
      </c>
      <c r="BZ11">
        <v>0.124965132496513</v>
      </c>
      <c r="CA11">
        <v>0.10739191073919099</v>
      </c>
      <c r="CB11">
        <v>9.1073919107391904E-2</v>
      </c>
      <c r="CC11">
        <v>7.6150627615062694E-2</v>
      </c>
      <c r="CD11">
        <v>6.2622036262203598E-2</v>
      </c>
      <c r="CE11">
        <v>5.0627615062761498E-2</v>
      </c>
      <c r="CF11">
        <v>4.0167364016736401E-2</v>
      </c>
      <c r="CG11">
        <v>3.1101813110181301E-2</v>
      </c>
      <c r="CH11">
        <v>2.3570432357043199E-2</v>
      </c>
      <c r="CI11">
        <v>1.7433751743375199E-2</v>
      </c>
      <c r="CJ11">
        <v>1.2552301255230099E-2</v>
      </c>
      <c r="CK11">
        <v>8.7866108786610903E-3</v>
      </c>
      <c r="CL11">
        <v>5.7182705718270502E-3</v>
      </c>
      <c r="CM11">
        <v>3.6262203626220299E-3</v>
      </c>
      <c r="CN11">
        <v>1.6736401673640201E-3</v>
      </c>
      <c r="CO11">
        <v>6.9735006973500695E-4</v>
      </c>
      <c r="CP11">
        <v>4.18410041841004E-4</v>
      </c>
      <c r="CQ11">
        <v>1.3947001394700099E-4</v>
      </c>
    </row>
    <row r="12" spans="1:103">
      <c r="A12">
        <v>8</v>
      </c>
      <c r="B12">
        <v>0.70960000000000001</v>
      </c>
      <c r="C12">
        <f t="shared" si="1"/>
        <v>0.1161723337651869</v>
      </c>
      <c r="D12">
        <f t="shared" si="0"/>
        <v>-8</v>
      </c>
      <c r="E12">
        <v>0.99140360766629099</v>
      </c>
      <c r="F12">
        <v>0.98393461104847801</v>
      </c>
      <c r="G12">
        <v>0.97815670800451004</v>
      </c>
      <c r="H12">
        <v>0.97266065388951495</v>
      </c>
      <c r="I12">
        <v>0.96730552423900795</v>
      </c>
      <c r="J12">
        <v>0.96180947012401397</v>
      </c>
      <c r="K12">
        <v>0.95589064261555801</v>
      </c>
      <c r="L12">
        <v>0.948985343855694</v>
      </c>
      <c r="M12">
        <v>0.94165727170236802</v>
      </c>
      <c r="N12">
        <v>0.93404735062006805</v>
      </c>
      <c r="O12">
        <v>0.926014656144307</v>
      </c>
      <c r="P12">
        <v>0.91755918827508498</v>
      </c>
      <c r="Q12">
        <v>0.90896279594137597</v>
      </c>
      <c r="R12">
        <v>0.90008455467869197</v>
      </c>
      <c r="S12">
        <v>0.89106538895152199</v>
      </c>
      <c r="T12">
        <v>0.88190529875986501</v>
      </c>
      <c r="U12">
        <v>0.87274520856820703</v>
      </c>
      <c r="V12">
        <v>0.86372604284103704</v>
      </c>
      <c r="W12">
        <v>0.85470687711386695</v>
      </c>
      <c r="X12">
        <v>0.84582863585118395</v>
      </c>
      <c r="Y12">
        <v>0.83695039458849996</v>
      </c>
      <c r="Z12">
        <v>0.82835400225479106</v>
      </c>
      <c r="AA12">
        <v>0.81989853438556903</v>
      </c>
      <c r="AB12">
        <v>0.81172491544532099</v>
      </c>
      <c r="AC12">
        <v>0.80355129650507295</v>
      </c>
      <c r="AD12">
        <v>0.79551860202931202</v>
      </c>
      <c r="AE12">
        <v>0.78748590755355197</v>
      </c>
      <c r="AF12">
        <v>0.77973506200676501</v>
      </c>
      <c r="AG12">
        <v>0.77184329199549095</v>
      </c>
      <c r="AH12">
        <v>0.764092446448704</v>
      </c>
      <c r="AI12">
        <v>0.75634160090191604</v>
      </c>
      <c r="AJ12">
        <v>0.74859075535512898</v>
      </c>
      <c r="AK12">
        <v>0.74069898534385503</v>
      </c>
      <c r="AL12">
        <v>0.73280721533258097</v>
      </c>
      <c r="AM12">
        <v>0.72477452085682104</v>
      </c>
      <c r="AN12">
        <v>0.71645997745208501</v>
      </c>
      <c r="AO12">
        <v>0.70814543404734998</v>
      </c>
      <c r="AP12">
        <v>0.69954904171364096</v>
      </c>
      <c r="AQ12">
        <v>0.69067080045095797</v>
      </c>
      <c r="AR12">
        <v>0.68151071025930099</v>
      </c>
      <c r="AS12">
        <v>0.67206877113866903</v>
      </c>
      <c r="AT12">
        <v>0.66234498308906398</v>
      </c>
      <c r="AU12">
        <v>0.65219842164599695</v>
      </c>
      <c r="AV12">
        <v>0.64162908680946995</v>
      </c>
      <c r="AW12">
        <v>0.63063697857948098</v>
      </c>
      <c r="AX12">
        <v>0.61922209695603103</v>
      </c>
      <c r="AY12">
        <v>0.60724351747463301</v>
      </c>
      <c r="AZ12">
        <v>0.59484216459977401</v>
      </c>
      <c r="BA12">
        <v>0.58187711386696706</v>
      </c>
      <c r="BB12">
        <v>0.56834836527621102</v>
      </c>
      <c r="BC12">
        <v>0.55425591882750802</v>
      </c>
      <c r="BD12">
        <v>0.53945885005636895</v>
      </c>
      <c r="BE12">
        <v>0.52409808342728204</v>
      </c>
      <c r="BF12">
        <v>0.50817361894024704</v>
      </c>
      <c r="BG12">
        <v>0.49154453213077698</v>
      </c>
      <c r="BH12">
        <v>0.47421082299887202</v>
      </c>
      <c r="BI12">
        <v>0.45631341600901898</v>
      </c>
      <c r="BJ12">
        <v>0.43785231116121698</v>
      </c>
      <c r="BK12">
        <v>0.41868658399098002</v>
      </c>
      <c r="BL12">
        <v>0.39895715896279499</v>
      </c>
      <c r="BM12">
        <v>0.37866403607666199</v>
      </c>
      <c r="BN12">
        <v>0.35794813979706802</v>
      </c>
      <c r="BO12">
        <v>0.33680947012401302</v>
      </c>
      <c r="BP12">
        <v>0.31524802705749699</v>
      </c>
      <c r="BQ12">
        <v>0.29354565952649297</v>
      </c>
      <c r="BR12">
        <v>0.27170236753100302</v>
      </c>
      <c r="BS12">
        <v>0.24971815107102599</v>
      </c>
      <c r="BT12">
        <v>0.228015783540022</v>
      </c>
      <c r="BU12">
        <v>0.206454340473506</v>
      </c>
      <c r="BV12">
        <v>0.185315670800451</v>
      </c>
      <c r="BW12">
        <v>0.16488162344983101</v>
      </c>
      <c r="BX12">
        <v>0.14515219842164601</v>
      </c>
      <c r="BY12">
        <v>0.126268320180383</v>
      </c>
      <c r="BZ12">
        <v>0.108511837655017</v>
      </c>
      <c r="CA12">
        <v>9.2023675310033706E-2</v>
      </c>
      <c r="CB12">
        <v>7.6944757609921005E-2</v>
      </c>
      <c r="CC12">
        <v>6.3275084554678604E-2</v>
      </c>
      <c r="CD12">
        <v>5.1155580608793598E-2</v>
      </c>
      <c r="CE12">
        <v>4.0586245772266001E-2</v>
      </c>
      <c r="CF12">
        <v>3.1426155580608801E-2</v>
      </c>
      <c r="CG12">
        <v>2.38162344983089E-2</v>
      </c>
      <c r="CH12">
        <v>1.7615558060879399E-2</v>
      </c>
      <c r="CI12">
        <v>1.2683201803833101E-2</v>
      </c>
      <c r="CJ12">
        <v>8.8782412626831897E-3</v>
      </c>
      <c r="CK12">
        <v>5.7779030439684296E-3</v>
      </c>
      <c r="CL12">
        <v>3.6640360766628998E-3</v>
      </c>
      <c r="CM12">
        <v>1.69109357384442E-3</v>
      </c>
      <c r="CN12">
        <v>7.0462232243517396E-4</v>
      </c>
      <c r="CO12">
        <v>4.2277339346110402E-4</v>
      </c>
      <c r="CP12">
        <v>1.40924464487035E-4</v>
      </c>
      <c r="CQ12">
        <v>0</v>
      </c>
    </row>
    <row r="13" spans="1:103">
      <c r="A13">
        <v>9</v>
      </c>
      <c r="B13">
        <v>0.70350000000000001</v>
      </c>
      <c r="C13">
        <f t="shared" si="1"/>
        <v>0.11627954408092731</v>
      </c>
      <c r="D13">
        <f t="shared" si="0"/>
        <v>-8</v>
      </c>
      <c r="E13">
        <v>0.99246624022743402</v>
      </c>
      <c r="F13">
        <v>0.98663823738450596</v>
      </c>
      <c r="G13">
        <v>0.98109452736318403</v>
      </c>
      <c r="H13">
        <v>0.97569296375266601</v>
      </c>
      <c r="I13">
        <v>0.97014925373134397</v>
      </c>
      <c r="J13">
        <v>0.96417910447761201</v>
      </c>
      <c r="K13">
        <v>0.95721393034825897</v>
      </c>
      <c r="L13">
        <v>0.949822316986496</v>
      </c>
      <c r="M13">
        <v>0.942146410803127</v>
      </c>
      <c r="N13">
        <v>0.93404406538734897</v>
      </c>
      <c r="O13">
        <v>0.92551528073916201</v>
      </c>
      <c r="P13">
        <v>0.91684434968017103</v>
      </c>
      <c r="Q13">
        <v>0.90788912579957404</v>
      </c>
      <c r="R13">
        <v>0.89879175550817403</v>
      </c>
      <c r="S13">
        <v>0.88955223880597001</v>
      </c>
      <c r="T13">
        <v>0.88031272210376699</v>
      </c>
      <c r="U13">
        <v>0.87121535181236698</v>
      </c>
      <c r="V13">
        <v>0.86211798152096697</v>
      </c>
      <c r="W13">
        <v>0.85316275764036997</v>
      </c>
      <c r="X13">
        <v>0.84420753375977298</v>
      </c>
      <c r="Y13">
        <v>0.83553660270078201</v>
      </c>
      <c r="Z13">
        <v>0.82700781805259405</v>
      </c>
      <c r="AA13">
        <v>0.818763326226013</v>
      </c>
      <c r="AB13">
        <v>0.81051883439943195</v>
      </c>
      <c r="AC13">
        <v>0.80241648898365403</v>
      </c>
      <c r="AD13">
        <v>0.794314143567876</v>
      </c>
      <c r="AE13">
        <v>0.78649609097370399</v>
      </c>
      <c r="AF13">
        <v>0.77853589196872797</v>
      </c>
      <c r="AG13">
        <v>0.77071783937455596</v>
      </c>
      <c r="AH13">
        <v>0.76289978678038395</v>
      </c>
      <c r="AI13">
        <v>0.75508173418621205</v>
      </c>
      <c r="AJ13">
        <v>0.74712153518123703</v>
      </c>
      <c r="AK13">
        <v>0.73916133617626201</v>
      </c>
      <c r="AL13">
        <v>0.73105899076048397</v>
      </c>
      <c r="AM13">
        <v>0.72267235252309903</v>
      </c>
      <c r="AN13">
        <v>0.71428571428571397</v>
      </c>
      <c r="AO13">
        <v>0.705614783226724</v>
      </c>
      <c r="AP13">
        <v>0.696659559346127</v>
      </c>
      <c r="AQ13">
        <v>0.68742004264392298</v>
      </c>
      <c r="AR13">
        <v>0.67789623312011404</v>
      </c>
      <c r="AS13">
        <v>0.66808813077469797</v>
      </c>
      <c r="AT13">
        <v>0.65785358919687298</v>
      </c>
      <c r="AU13">
        <v>0.64719260838663795</v>
      </c>
      <c r="AV13">
        <v>0.63610518834399399</v>
      </c>
      <c r="AW13">
        <v>0.62459132906894099</v>
      </c>
      <c r="AX13">
        <v>0.61250888415067495</v>
      </c>
      <c r="AY13">
        <v>0.6</v>
      </c>
      <c r="AZ13">
        <v>0.58692253020611196</v>
      </c>
      <c r="BA13">
        <v>0.573276474769012</v>
      </c>
      <c r="BB13">
        <v>0.55906183368869899</v>
      </c>
      <c r="BC13">
        <v>0.54413646055437104</v>
      </c>
      <c r="BD13">
        <v>0.52864250177683003</v>
      </c>
      <c r="BE13">
        <v>0.51257995735607698</v>
      </c>
      <c r="BF13">
        <v>0.49580668088130803</v>
      </c>
      <c r="BG13">
        <v>0.47832267235252302</v>
      </c>
      <c r="BH13">
        <v>0.46027007818052601</v>
      </c>
      <c r="BI13">
        <v>0.44164889836531601</v>
      </c>
      <c r="BJ13">
        <v>0.42231698649609101</v>
      </c>
      <c r="BK13">
        <v>0.40241648898365301</v>
      </c>
      <c r="BL13">
        <v>0.38194740582800302</v>
      </c>
      <c r="BM13">
        <v>0.36105188343994299</v>
      </c>
      <c r="BN13">
        <v>0.33972992181947398</v>
      </c>
      <c r="BO13">
        <v>0.31798152096659499</v>
      </c>
      <c r="BP13">
        <v>0.29609097370291398</v>
      </c>
      <c r="BQ13">
        <v>0.27405828002842902</v>
      </c>
      <c r="BR13">
        <v>0.251883439943141</v>
      </c>
      <c r="BS13">
        <v>0.22999289267945999</v>
      </c>
      <c r="BT13">
        <v>0.208244491826581</v>
      </c>
      <c r="BU13">
        <v>0.18692253020611199</v>
      </c>
      <c r="BV13">
        <v>0.16631130063965899</v>
      </c>
      <c r="BW13">
        <v>0.14641080312722099</v>
      </c>
      <c r="BX13">
        <v>0.12736318407960201</v>
      </c>
      <c r="BY13">
        <v>0.109452736318408</v>
      </c>
      <c r="BZ13">
        <v>9.2821606254442093E-2</v>
      </c>
      <c r="CA13">
        <v>7.7611940298507404E-2</v>
      </c>
      <c r="CB13">
        <v>6.3823738450604101E-2</v>
      </c>
      <c r="CC13">
        <v>5.1599147121535197E-2</v>
      </c>
      <c r="CD13">
        <v>4.0938166311300601E-2</v>
      </c>
      <c r="CE13">
        <v>3.16986496090974E-2</v>
      </c>
      <c r="CF13">
        <v>2.40227434257285E-2</v>
      </c>
      <c r="CG13">
        <v>1.7768301350390901E-2</v>
      </c>
      <c r="CH13">
        <v>1.2793176972281399E-2</v>
      </c>
      <c r="CI13">
        <v>8.9552238805970102E-3</v>
      </c>
      <c r="CJ13">
        <v>5.8280028429282104E-3</v>
      </c>
      <c r="CK13">
        <v>3.6958066808813099E-3</v>
      </c>
      <c r="CL13">
        <v>1.70575692963753E-3</v>
      </c>
      <c r="CM13">
        <v>7.1073205401563598E-4</v>
      </c>
      <c r="CN13">
        <v>4.2643923240938099E-4</v>
      </c>
      <c r="CO13">
        <v>1.4214641080312701E-4</v>
      </c>
    </row>
    <row r="14" spans="1:103">
      <c r="A14">
        <v>10</v>
      </c>
      <c r="B14">
        <v>0.69820000000000004</v>
      </c>
      <c r="C14">
        <f t="shared" si="1"/>
        <v>0.11624834037816427</v>
      </c>
      <c r="D14">
        <f t="shared" si="0"/>
        <v>-8</v>
      </c>
      <c r="E14">
        <v>0.99412775708965895</v>
      </c>
      <c r="F14">
        <v>0.98854196505299397</v>
      </c>
      <c r="G14">
        <v>0.98309939845316496</v>
      </c>
      <c r="H14">
        <v>0.97751360641649998</v>
      </c>
      <c r="I14">
        <v>0.97149813806932095</v>
      </c>
      <c r="J14">
        <v>0.96448009166427995</v>
      </c>
      <c r="K14">
        <v>0.95703236894872501</v>
      </c>
      <c r="L14">
        <v>0.949298195359496</v>
      </c>
      <c r="M14">
        <v>0.94113434545975405</v>
      </c>
      <c r="N14">
        <v>0.93254081924949905</v>
      </c>
      <c r="O14">
        <v>0.92380406760240696</v>
      </c>
      <c r="P14">
        <v>0.91478086508163903</v>
      </c>
      <c r="Q14">
        <v>0.905614437124033</v>
      </c>
      <c r="R14">
        <v>0.89630478372959099</v>
      </c>
      <c r="S14">
        <v>0.88699513033514799</v>
      </c>
      <c r="T14">
        <v>0.87782870237754196</v>
      </c>
      <c r="U14">
        <v>0.86866227441993704</v>
      </c>
      <c r="V14">
        <v>0.85963907189916899</v>
      </c>
      <c r="W14">
        <v>0.85061586937840195</v>
      </c>
      <c r="X14">
        <v>0.84187911773130897</v>
      </c>
      <c r="Y14">
        <v>0.83328559152105397</v>
      </c>
      <c r="Z14">
        <v>0.82497851618447404</v>
      </c>
      <c r="AA14">
        <v>0.816671440847895</v>
      </c>
      <c r="AB14">
        <v>0.80850759094815305</v>
      </c>
      <c r="AC14">
        <v>0.80034374104841099</v>
      </c>
      <c r="AD14">
        <v>0.79246634202234401</v>
      </c>
      <c r="AE14">
        <v>0.78444571755943904</v>
      </c>
      <c r="AF14">
        <v>0.77656831853337205</v>
      </c>
      <c r="AG14">
        <v>0.76869091950730495</v>
      </c>
      <c r="AH14">
        <v>0.76081352048123796</v>
      </c>
      <c r="AI14">
        <v>0.75279289601833299</v>
      </c>
      <c r="AJ14">
        <v>0.74477227155542802</v>
      </c>
      <c r="AK14">
        <v>0.73660842165568696</v>
      </c>
      <c r="AL14">
        <v>0.72815812088226906</v>
      </c>
      <c r="AM14">
        <v>0.71970782010885204</v>
      </c>
      <c r="AN14">
        <v>0.71097106846175895</v>
      </c>
      <c r="AO14">
        <v>0.70194786594099101</v>
      </c>
      <c r="AP14">
        <v>0.692638212546548</v>
      </c>
      <c r="AQ14">
        <v>0.68304210827843004</v>
      </c>
      <c r="AR14">
        <v>0.673159553136637</v>
      </c>
      <c r="AS14">
        <v>0.66284732168433103</v>
      </c>
      <c r="AT14">
        <v>0.652105413921513</v>
      </c>
      <c r="AU14">
        <v>0.64093382984818104</v>
      </c>
      <c r="AV14">
        <v>0.62933256946433702</v>
      </c>
      <c r="AW14">
        <v>0.61715840733314298</v>
      </c>
      <c r="AX14">
        <v>0.604554568891435</v>
      </c>
      <c r="AY14">
        <v>0.59137782870237798</v>
      </c>
      <c r="AZ14">
        <v>0.57762818676597005</v>
      </c>
      <c r="BA14">
        <v>0.56330564308221098</v>
      </c>
      <c r="BB14">
        <v>0.54826697221426501</v>
      </c>
      <c r="BC14">
        <v>0.53265539959896901</v>
      </c>
      <c r="BD14">
        <v>0.51647092523632199</v>
      </c>
      <c r="BE14">
        <v>0.49957032368948701</v>
      </c>
      <c r="BF14">
        <v>0.48195359495846501</v>
      </c>
      <c r="BG14">
        <v>0.46376396448009199</v>
      </c>
      <c r="BH14">
        <v>0.445001432254368</v>
      </c>
      <c r="BI14">
        <v>0.425522772844457</v>
      </c>
      <c r="BJ14">
        <v>0.40547121168719602</v>
      </c>
      <c r="BK14">
        <v>0.38484674878258401</v>
      </c>
      <c r="BL14">
        <v>0.36379260956745901</v>
      </c>
      <c r="BM14">
        <v>0.34230879404182202</v>
      </c>
      <c r="BN14">
        <v>0.32039530220567197</v>
      </c>
      <c r="BO14">
        <v>0.298338584932684</v>
      </c>
      <c r="BP14">
        <v>0.276138642222859</v>
      </c>
      <c r="BQ14">
        <v>0.25379547407619601</v>
      </c>
      <c r="BR14">
        <v>0.23173875680320799</v>
      </c>
      <c r="BS14">
        <v>0.209825264967058</v>
      </c>
      <c r="BT14">
        <v>0.188341449441421</v>
      </c>
      <c r="BU14">
        <v>0.16757376109997099</v>
      </c>
      <c r="BV14">
        <v>0.14752219994270999</v>
      </c>
      <c r="BW14">
        <v>0.128329991406474</v>
      </c>
      <c r="BX14">
        <v>0.110283586364938</v>
      </c>
      <c r="BY14">
        <v>9.3526210254941303E-2</v>
      </c>
      <c r="BZ14">
        <v>7.820108851332E-2</v>
      </c>
      <c r="CA14">
        <v>6.4308221140074506E-2</v>
      </c>
      <c r="CB14">
        <v>5.19908335720424E-2</v>
      </c>
      <c r="CC14">
        <v>4.1248925809223701E-2</v>
      </c>
      <c r="CD14">
        <v>3.1939272414780902E-2</v>
      </c>
      <c r="CE14">
        <v>2.4205098825551399E-2</v>
      </c>
      <c r="CF14">
        <v>1.79031796046978E-2</v>
      </c>
      <c r="CG14">
        <v>1.28902893153824E-2</v>
      </c>
      <c r="CH14">
        <v>9.0232025207676904E-3</v>
      </c>
      <c r="CI14">
        <v>5.8722429103408797E-3</v>
      </c>
      <c r="CJ14">
        <v>3.7238613577771401E-3</v>
      </c>
      <c r="CK14">
        <v>1.71870524205099E-3</v>
      </c>
      <c r="CL14">
        <v>7.1612718418791199E-4</v>
      </c>
      <c r="CM14">
        <v>4.2967631051274701E-4</v>
      </c>
      <c r="CN14">
        <v>1.43225436837582E-4</v>
      </c>
      <c r="CO14">
        <v>0</v>
      </c>
    </row>
    <row r="15" spans="1:103">
      <c r="A15">
        <v>11</v>
      </c>
      <c r="B15">
        <v>0.69410000000000005</v>
      </c>
      <c r="C15">
        <f t="shared" si="1"/>
        <v>0.11597500144498617</v>
      </c>
      <c r="D15">
        <f t="shared" si="0"/>
        <v>-8</v>
      </c>
      <c r="E15">
        <v>0.99438121308168803</v>
      </c>
      <c r="F15">
        <v>0.98890649762282101</v>
      </c>
      <c r="G15">
        <v>0.98328771070450904</v>
      </c>
      <c r="H15">
        <v>0.977236709407866</v>
      </c>
      <c r="I15">
        <v>0.97017720789511597</v>
      </c>
      <c r="J15">
        <v>0.96268549200403397</v>
      </c>
      <c r="K15">
        <v>0.95490563319406396</v>
      </c>
      <c r="L15">
        <v>0.94669356000576299</v>
      </c>
      <c r="M15">
        <v>0.93804927243913006</v>
      </c>
      <c r="N15">
        <v>0.92926091341305295</v>
      </c>
      <c r="O15">
        <v>0.92018441146808805</v>
      </c>
      <c r="P15">
        <v>0.91096383806367998</v>
      </c>
      <c r="Q15">
        <v>0.90159919319982695</v>
      </c>
      <c r="R15">
        <v>0.89223454833597504</v>
      </c>
      <c r="S15">
        <v>0.88301397493156597</v>
      </c>
      <c r="T15">
        <v>0.87379340152715801</v>
      </c>
      <c r="U15">
        <v>0.864716899582193</v>
      </c>
      <c r="V15">
        <v>0.85564039763722799</v>
      </c>
      <c r="W15">
        <v>0.84685203861115099</v>
      </c>
      <c r="X15">
        <v>0.83820775104451795</v>
      </c>
      <c r="Y15">
        <v>0.82985160639677302</v>
      </c>
      <c r="Z15">
        <v>0.82149546174902799</v>
      </c>
      <c r="AA15">
        <v>0.81328338856072602</v>
      </c>
      <c r="AB15">
        <v>0.80507131537242504</v>
      </c>
      <c r="AC15">
        <v>0.79714738510301197</v>
      </c>
      <c r="AD15">
        <v>0.78907938337415395</v>
      </c>
      <c r="AE15">
        <v>0.78115545310473999</v>
      </c>
      <c r="AF15">
        <v>0.77323152283532604</v>
      </c>
      <c r="AG15">
        <v>0.76530759256591296</v>
      </c>
      <c r="AH15">
        <v>0.75723959083705505</v>
      </c>
      <c r="AI15">
        <v>0.74917158910819703</v>
      </c>
      <c r="AJ15">
        <v>0.74095951591989595</v>
      </c>
      <c r="AK15">
        <v>0.73245929981270697</v>
      </c>
      <c r="AL15">
        <v>0.72395908370551798</v>
      </c>
      <c r="AM15">
        <v>0.71517072467944098</v>
      </c>
      <c r="AN15">
        <v>0.70609422273447597</v>
      </c>
      <c r="AO15">
        <v>0.69672957787062395</v>
      </c>
      <c r="AP15">
        <v>0.68707679008788303</v>
      </c>
      <c r="AQ15">
        <v>0.67713585938625498</v>
      </c>
      <c r="AR15">
        <v>0.66676271430629597</v>
      </c>
      <c r="AS15">
        <v>0.65595735484800399</v>
      </c>
      <c r="AT15">
        <v>0.64471978101138205</v>
      </c>
      <c r="AU15">
        <v>0.63304999279642704</v>
      </c>
      <c r="AV15">
        <v>0.620803918743697</v>
      </c>
      <c r="AW15">
        <v>0.608125630312635</v>
      </c>
      <c r="AX15">
        <v>0.59487105604379797</v>
      </c>
      <c r="AY15">
        <v>0.58104019593718403</v>
      </c>
      <c r="AZ15">
        <v>0.56663304999279596</v>
      </c>
      <c r="BA15">
        <v>0.55150554675118801</v>
      </c>
      <c r="BB15">
        <v>0.53580175767180505</v>
      </c>
      <c r="BC15">
        <v>0.51952168275464605</v>
      </c>
      <c r="BD15">
        <v>0.50252125054026797</v>
      </c>
      <c r="BE15">
        <v>0.48480046102867003</v>
      </c>
      <c r="BF15">
        <v>0.466503385679297</v>
      </c>
      <c r="BG15">
        <v>0.447630024492148</v>
      </c>
      <c r="BH15">
        <v>0.42803630600777998</v>
      </c>
      <c r="BI15">
        <v>0.40786630168563598</v>
      </c>
      <c r="BJ15">
        <v>0.38712001152571701</v>
      </c>
      <c r="BK15">
        <v>0.36594150698746603</v>
      </c>
      <c r="BL15">
        <v>0.34433078807088302</v>
      </c>
      <c r="BM15">
        <v>0.322287854775969</v>
      </c>
      <c r="BN15">
        <v>0.30010085002161102</v>
      </c>
      <c r="BO15">
        <v>0.27776977380780898</v>
      </c>
      <c r="BP15">
        <v>0.255294626134563</v>
      </c>
      <c r="BQ15">
        <v>0.23310762138020499</v>
      </c>
      <c r="BR15">
        <v>0.21106468808529</v>
      </c>
      <c r="BS15">
        <v>0.18945396916870799</v>
      </c>
      <c r="BT15">
        <v>0.16856360754934399</v>
      </c>
      <c r="BU15">
        <v>0.14839360322720099</v>
      </c>
      <c r="BV15">
        <v>0.12908802766172001</v>
      </c>
      <c r="BW15">
        <v>0.110935023771791</v>
      </c>
      <c r="BX15">
        <v>9.4078663016856398E-2</v>
      </c>
      <c r="BY15">
        <v>7.8663016856360707E-2</v>
      </c>
      <c r="BZ15">
        <v>6.4688085290303995E-2</v>
      </c>
      <c r="CA15">
        <v>5.229793977813E-2</v>
      </c>
      <c r="CB15">
        <v>4.1492580319838601E-2</v>
      </c>
      <c r="CC15">
        <v>3.2127935455986197E-2</v>
      </c>
      <c r="CD15">
        <v>2.43480766460164E-2</v>
      </c>
      <c r="CE15">
        <v>1.80089324304855E-2</v>
      </c>
      <c r="CF15">
        <v>1.2966431349949599E-2</v>
      </c>
      <c r="CG15">
        <v>9.0765019449646992E-3</v>
      </c>
      <c r="CH15">
        <v>5.90692983719925E-3</v>
      </c>
      <c r="CI15">
        <v>3.7458579455409901E-3</v>
      </c>
      <c r="CJ15">
        <v>1.72885751332661E-3</v>
      </c>
      <c r="CK15">
        <v>7.2035729721942098E-4</v>
      </c>
      <c r="CL15">
        <v>4.3221437833165202E-4</v>
      </c>
      <c r="CM15">
        <v>1.4407145944388399E-4</v>
      </c>
    </row>
    <row r="16" spans="1:103">
      <c r="A16">
        <v>12</v>
      </c>
      <c r="B16">
        <v>0.69020000000000004</v>
      </c>
      <c r="C16">
        <f t="shared" si="1"/>
        <v>0.11563058114927192</v>
      </c>
      <c r="D16">
        <f t="shared" si="0"/>
        <v>-8</v>
      </c>
      <c r="E16">
        <v>0.99449434946392301</v>
      </c>
      <c r="F16">
        <v>0.988843813387424</v>
      </c>
      <c r="G16">
        <v>0.98275862068965503</v>
      </c>
      <c r="H16">
        <v>0.97565922920892501</v>
      </c>
      <c r="I16">
        <v>0.96812518110692602</v>
      </c>
      <c r="J16">
        <v>0.96030136192408</v>
      </c>
      <c r="K16">
        <v>0.95204288611996502</v>
      </c>
      <c r="L16">
        <v>0.94334975369458096</v>
      </c>
      <c r="M16">
        <v>0.934511735728774</v>
      </c>
      <c r="N16">
        <v>0.92538394668212098</v>
      </c>
      <c r="O16">
        <v>0.91611127209504495</v>
      </c>
      <c r="P16">
        <v>0.906693711967546</v>
      </c>
      <c r="Q16">
        <v>0.89727615184004705</v>
      </c>
      <c r="R16">
        <v>0.88800347725297002</v>
      </c>
      <c r="S16">
        <v>0.87873080266589398</v>
      </c>
      <c r="T16">
        <v>0.86960301361924097</v>
      </c>
      <c r="U16">
        <v>0.86047522457258796</v>
      </c>
      <c r="V16">
        <v>0.85163720660678099</v>
      </c>
      <c r="W16">
        <v>0.84294407418139705</v>
      </c>
      <c r="X16">
        <v>0.83454071283685904</v>
      </c>
      <c r="Y16">
        <v>0.82613735149232104</v>
      </c>
      <c r="Z16">
        <v>0.81787887568820705</v>
      </c>
      <c r="AA16">
        <v>0.80962039988409196</v>
      </c>
      <c r="AB16">
        <v>0.80165169516082402</v>
      </c>
      <c r="AC16">
        <v>0.79353810489713195</v>
      </c>
      <c r="AD16">
        <v>0.78556940017386301</v>
      </c>
      <c r="AE16">
        <v>0.77760069545059396</v>
      </c>
      <c r="AF16">
        <v>0.76963199072732602</v>
      </c>
      <c r="AG16">
        <v>0.76151840046363395</v>
      </c>
      <c r="AH16">
        <v>0.75340481019994199</v>
      </c>
      <c r="AI16">
        <v>0.745146334395827</v>
      </c>
      <c r="AJ16">
        <v>0.73659808751086597</v>
      </c>
      <c r="AK16">
        <v>0.72804984062590505</v>
      </c>
      <c r="AL16">
        <v>0.71921182266009898</v>
      </c>
      <c r="AM16">
        <v>0.71008403361344496</v>
      </c>
      <c r="AN16">
        <v>0.70066647348594602</v>
      </c>
      <c r="AO16">
        <v>0.69095914227760102</v>
      </c>
      <c r="AP16">
        <v>0.68096203998840898</v>
      </c>
      <c r="AQ16">
        <v>0.67053028107794799</v>
      </c>
      <c r="AR16">
        <v>0.65966386554621803</v>
      </c>
      <c r="AS16">
        <v>0.64836279339321901</v>
      </c>
      <c r="AT16">
        <v>0.63662706461895102</v>
      </c>
      <c r="AU16">
        <v>0.62431179368298995</v>
      </c>
      <c r="AV16">
        <v>0.61156186612576002</v>
      </c>
      <c r="AW16">
        <v>0.59823239640683801</v>
      </c>
      <c r="AX16">
        <v>0.58432338452622401</v>
      </c>
      <c r="AY16">
        <v>0.56983483048391703</v>
      </c>
      <c r="AZ16">
        <v>0.55462184873949505</v>
      </c>
      <c r="BA16">
        <v>0.53882932483338097</v>
      </c>
      <c r="BB16">
        <v>0.52245725876557503</v>
      </c>
      <c r="BC16">
        <v>0.50536076499565297</v>
      </c>
      <c r="BD16">
        <v>0.48753984352361601</v>
      </c>
      <c r="BE16">
        <v>0.46913937988988702</v>
      </c>
      <c r="BF16">
        <v>0.45015937409446499</v>
      </c>
      <c r="BG16">
        <v>0.43045494059692802</v>
      </c>
      <c r="BH16">
        <v>0.410170964937699</v>
      </c>
      <c r="BI16">
        <v>0.389307447116778</v>
      </c>
      <c r="BJ16">
        <v>0.368009272674587</v>
      </c>
      <c r="BK16">
        <v>0.34627644161112697</v>
      </c>
      <c r="BL16">
        <v>0.32410895392639799</v>
      </c>
      <c r="BM16">
        <v>0.30179658070124599</v>
      </c>
      <c r="BN16">
        <v>0.27933932193567101</v>
      </c>
      <c r="BO16">
        <v>0.25673717762967302</v>
      </c>
      <c r="BP16">
        <v>0.23442480440451999</v>
      </c>
      <c r="BQ16">
        <v>0.21225731671979101</v>
      </c>
      <c r="BR16">
        <v>0.19052448565633201</v>
      </c>
      <c r="BS16">
        <v>0.16951608229498699</v>
      </c>
      <c r="BT16">
        <v>0.14923210663575801</v>
      </c>
      <c r="BU16">
        <v>0.12981744421906699</v>
      </c>
      <c r="BV16">
        <v>0.11156186612576099</v>
      </c>
      <c r="BW16">
        <v>9.4610257896261998E-2</v>
      </c>
      <c r="BX16">
        <v>7.91075050709939E-2</v>
      </c>
      <c r="BY16">
        <v>6.5053607649956505E-2</v>
      </c>
      <c r="BZ16">
        <v>5.2593451173572899E-2</v>
      </c>
      <c r="CA16">
        <v>4.1727035641842998E-2</v>
      </c>
      <c r="CB16">
        <v>3.2309475514343697E-2</v>
      </c>
      <c r="CC16">
        <v>2.4485656331498101E-2</v>
      </c>
      <c r="CD16">
        <v>1.8110692552883199E-2</v>
      </c>
      <c r="CE16">
        <v>1.30396986380759E-2</v>
      </c>
      <c r="CF16">
        <v>9.1277890466531508E-3</v>
      </c>
      <c r="CG16">
        <v>5.9403071573457004E-3</v>
      </c>
      <c r="CH16">
        <v>3.76702405099971E-3</v>
      </c>
      <c r="CI16">
        <v>1.73862648507679E-3</v>
      </c>
      <c r="CJ16">
        <v>7.2442770211532902E-4</v>
      </c>
      <c r="CK16">
        <v>4.3465662126919701E-4</v>
      </c>
      <c r="CL16">
        <v>1.44885540423066E-4</v>
      </c>
      <c r="CM16">
        <v>0</v>
      </c>
    </row>
    <row r="17" spans="1:89">
      <c r="A17">
        <v>13</v>
      </c>
      <c r="B17">
        <v>0.68640000000000001</v>
      </c>
      <c r="C17">
        <f t="shared" si="1"/>
        <v>0.11522635427028297</v>
      </c>
      <c r="D17">
        <f t="shared" si="0"/>
        <v>-8</v>
      </c>
      <c r="E17">
        <v>0.99431818181818199</v>
      </c>
      <c r="F17">
        <v>0.98819930069930095</v>
      </c>
      <c r="G17">
        <v>0.98106060606060597</v>
      </c>
      <c r="H17">
        <v>0.97348484848484895</v>
      </c>
      <c r="I17">
        <v>0.96561771561771503</v>
      </c>
      <c r="J17">
        <v>0.95731351981351998</v>
      </c>
      <c r="K17">
        <v>0.948572261072261</v>
      </c>
      <c r="L17">
        <v>0.93968531468531502</v>
      </c>
      <c r="M17">
        <v>0.93050699300699302</v>
      </c>
      <c r="N17">
        <v>0.92118298368298401</v>
      </c>
      <c r="O17">
        <v>0.911713286713287</v>
      </c>
      <c r="P17">
        <v>0.90224358974358998</v>
      </c>
      <c r="Q17">
        <v>0.89291958041958097</v>
      </c>
      <c r="R17">
        <v>0.88359557109557096</v>
      </c>
      <c r="S17">
        <v>0.87441724941724897</v>
      </c>
      <c r="T17">
        <v>0.86523892773892797</v>
      </c>
      <c r="U17">
        <v>0.85635198135198098</v>
      </c>
      <c r="V17">
        <v>0.84761072261072301</v>
      </c>
      <c r="W17">
        <v>0.83916083916083895</v>
      </c>
      <c r="X17">
        <v>0.83071095571095599</v>
      </c>
      <c r="Y17">
        <v>0.82240675990676004</v>
      </c>
      <c r="Z17">
        <v>0.81410256410256499</v>
      </c>
      <c r="AA17">
        <v>0.80608974358974395</v>
      </c>
      <c r="AB17">
        <v>0.79793123543123601</v>
      </c>
      <c r="AC17">
        <v>0.78991841491841497</v>
      </c>
      <c r="AD17">
        <v>0.78190559440559504</v>
      </c>
      <c r="AE17">
        <v>0.773892773892774</v>
      </c>
      <c r="AF17">
        <v>0.76573426573426595</v>
      </c>
      <c r="AG17">
        <v>0.75757575757575801</v>
      </c>
      <c r="AH17">
        <v>0.74927156177156196</v>
      </c>
      <c r="AI17">
        <v>0.74067599067599099</v>
      </c>
      <c r="AJ17">
        <v>0.73208041958041903</v>
      </c>
      <c r="AK17">
        <v>0.72319347319347305</v>
      </c>
      <c r="AL17">
        <v>0.71401515151515105</v>
      </c>
      <c r="AM17">
        <v>0.70454545454545403</v>
      </c>
      <c r="AN17">
        <v>0.694784382284382</v>
      </c>
      <c r="AO17">
        <v>0.68473193473193505</v>
      </c>
      <c r="AP17">
        <v>0.67424242424242398</v>
      </c>
      <c r="AQ17">
        <v>0.66331585081585098</v>
      </c>
      <c r="AR17">
        <v>0.65195221445221396</v>
      </c>
      <c r="AS17">
        <v>0.64015151515151503</v>
      </c>
      <c r="AT17">
        <v>0.62776806526806495</v>
      </c>
      <c r="AU17">
        <v>0.61494755244755195</v>
      </c>
      <c r="AV17">
        <v>0.60154428904428903</v>
      </c>
      <c r="AW17">
        <v>0.58755827505827496</v>
      </c>
      <c r="AX17">
        <v>0.57298951048950997</v>
      </c>
      <c r="AY17">
        <v>0.55769230769230704</v>
      </c>
      <c r="AZ17">
        <v>0.54181235431235397</v>
      </c>
      <c r="BA17">
        <v>0.52534965034964998</v>
      </c>
      <c r="BB17">
        <v>0.50815850815850805</v>
      </c>
      <c r="BC17">
        <v>0.49023892773892802</v>
      </c>
      <c r="BD17">
        <v>0.47173659673659701</v>
      </c>
      <c r="BE17">
        <v>0.45265151515151503</v>
      </c>
      <c r="BF17">
        <v>0.432837995337995</v>
      </c>
      <c r="BG17">
        <v>0.41244172494172499</v>
      </c>
      <c r="BH17">
        <v>0.391462703962704</v>
      </c>
      <c r="BI17">
        <v>0.37004662004661998</v>
      </c>
      <c r="BJ17">
        <v>0.34819347319347299</v>
      </c>
      <c r="BK17">
        <v>0.32590326340326298</v>
      </c>
      <c r="BL17">
        <v>0.30346736596736601</v>
      </c>
      <c r="BM17">
        <v>0.28088578088578098</v>
      </c>
      <c r="BN17">
        <v>0.25815850815850799</v>
      </c>
      <c r="BO17">
        <v>0.235722610722611</v>
      </c>
      <c r="BP17">
        <v>0.21343240093240101</v>
      </c>
      <c r="BQ17">
        <v>0.191579254079254</v>
      </c>
      <c r="BR17">
        <v>0.170454545454545</v>
      </c>
      <c r="BS17">
        <v>0.15005827505827499</v>
      </c>
      <c r="BT17">
        <v>0.130536130536131</v>
      </c>
      <c r="BU17">
        <v>0.112179487179487</v>
      </c>
      <c r="BV17">
        <v>9.5134032634032598E-2</v>
      </c>
      <c r="BW17">
        <v>7.9545454545454503E-2</v>
      </c>
      <c r="BX17">
        <v>6.5413752913752898E-2</v>
      </c>
      <c r="BY17">
        <v>5.2884615384615398E-2</v>
      </c>
      <c r="BZ17">
        <v>4.1958041958042001E-2</v>
      </c>
      <c r="CA17">
        <v>3.2488344988344998E-2</v>
      </c>
      <c r="CB17">
        <v>2.4621212121212099E-2</v>
      </c>
      <c r="CC17">
        <v>1.8210955710955701E-2</v>
      </c>
      <c r="CD17">
        <v>1.31118881118881E-2</v>
      </c>
      <c r="CE17">
        <v>9.1783216783216798E-3</v>
      </c>
      <c r="CF17">
        <v>5.9731934731934704E-3</v>
      </c>
      <c r="CG17">
        <v>3.7878787878787902E-3</v>
      </c>
      <c r="CH17">
        <v>1.74825174825175E-3</v>
      </c>
      <c r="CI17">
        <v>7.2843822843822795E-4</v>
      </c>
      <c r="CJ17">
        <v>4.3706293706293701E-4</v>
      </c>
      <c r="CK17">
        <v>1.4568764568764601E-4</v>
      </c>
    </row>
    <row r="18" spans="1:89">
      <c r="A18">
        <v>14</v>
      </c>
      <c r="B18">
        <v>0.6825</v>
      </c>
      <c r="C18">
        <f t="shared" si="1"/>
        <v>0.11479631588733688</v>
      </c>
      <c r="D18">
        <f t="shared" si="0"/>
        <v>-8</v>
      </c>
      <c r="E18">
        <v>0.99384615384615405</v>
      </c>
      <c r="F18">
        <v>0.98666666666666702</v>
      </c>
      <c r="G18">
        <v>0.97904761904761906</v>
      </c>
      <c r="H18">
        <v>0.97113553113553097</v>
      </c>
      <c r="I18">
        <v>0.96278388278388305</v>
      </c>
      <c r="J18">
        <v>0.95399267399267396</v>
      </c>
      <c r="K18">
        <v>0.94505494505494503</v>
      </c>
      <c r="L18">
        <v>0.93582417582417599</v>
      </c>
      <c r="M18">
        <v>0.926446886446886</v>
      </c>
      <c r="N18">
        <v>0.91692307692307695</v>
      </c>
      <c r="O18">
        <v>0.90739926739926702</v>
      </c>
      <c r="P18">
        <v>0.89802197802197803</v>
      </c>
      <c r="Q18">
        <v>0.88864468864468904</v>
      </c>
      <c r="R18">
        <v>0.879413919413919</v>
      </c>
      <c r="S18">
        <v>0.87018315018314996</v>
      </c>
      <c r="T18">
        <v>0.86124542124542103</v>
      </c>
      <c r="U18">
        <v>0.85245421245421205</v>
      </c>
      <c r="V18">
        <v>0.84395604395604396</v>
      </c>
      <c r="W18">
        <v>0.83545787545787598</v>
      </c>
      <c r="X18">
        <v>0.82710622710622705</v>
      </c>
      <c r="Y18">
        <v>0.81875457875457902</v>
      </c>
      <c r="Z18">
        <v>0.81069597069597099</v>
      </c>
      <c r="AA18">
        <v>0.80249084249084301</v>
      </c>
      <c r="AB18">
        <v>0.79443223443223498</v>
      </c>
      <c r="AC18">
        <v>0.78637362637362695</v>
      </c>
      <c r="AD18">
        <v>0.77831501831501804</v>
      </c>
      <c r="AE18">
        <v>0.77010989010988995</v>
      </c>
      <c r="AF18">
        <v>0.76190476190476197</v>
      </c>
      <c r="AG18">
        <v>0.75355311355311405</v>
      </c>
      <c r="AH18">
        <v>0.74490842490842502</v>
      </c>
      <c r="AI18">
        <v>0.73626373626373598</v>
      </c>
      <c r="AJ18">
        <v>0.72732600732600705</v>
      </c>
      <c r="AK18">
        <v>0.71809523809523801</v>
      </c>
      <c r="AL18">
        <v>0.70857142857142796</v>
      </c>
      <c r="AM18">
        <v>0.69875457875457903</v>
      </c>
      <c r="AN18">
        <v>0.68864468864468797</v>
      </c>
      <c r="AO18">
        <v>0.67809523809523797</v>
      </c>
      <c r="AP18">
        <v>0.66710622710622702</v>
      </c>
      <c r="AQ18">
        <v>0.65567765567765601</v>
      </c>
      <c r="AR18">
        <v>0.64380952380952405</v>
      </c>
      <c r="AS18">
        <v>0.63135531135531098</v>
      </c>
      <c r="AT18">
        <v>0.61846153846153795</v>
      </c>
      <c r="AU18">
        <v>0.60498168498168503</v>
      </c>
      <c r="AV18">
        <v>0.59091575091574999</v>
      </c>
      <c r="AW18">
        <v>0.57626373626373595</v>
      </c>
      <c r="AX18">
        <v>0.56087912087912095</v>
      </c>
      <c r="AY18">
        <v>0.54490842490842495</v>
      </c>
      <c r="AZ18">
        <v>0.52835164835164805</v>
      </c>
      <c r="BA18">
        <v>0.51106227106227098</v>
      </c>
      <c r="BB18">
        <v>0.49304029304029301</v>
      </c>
      <c r="BC18">
        <v>0.47443223443223398</v>
      </c>
      <c r="BD18">
        <v>0.455238095238095</v>
      </c>
      <c r="BE18">
        <v>0.43531135531135501</v>
      </c>
      <c r="BF18">
        <v>0.41479853479853501</v>
      </c>
      <c r="BG18">
        <v>0.39369963369963401</v>
      </c>
      <c r="BH18">
        <v>0.372161172161172</v>
      </c>
      <c r="BI18">
        <v>0.35018315018314999</v>
      </c>
      <c r="BJ18">
        <v>0.32776556776556798</v>
      </c>
      <c r="BK18">
        <v>0.30520146520146502</v>
      </c>
      <c r="BL18">
        <v>0.282490842490843</v>
      </c>
      <c r="BM18">
        <v>0.25963369963369998</v>
      </c>
      <c r="BN18">
        <v>0.23706959706959699</v>
      </c>
      <c r="BO18">
        <v>0.214652014652015</v>
      </c>
      <c r="BP18">
        <v>0.19267399267399299</v>
      </c>
      <c r="BQ18">
        <v>0.17142857142857101</v>
      </c>
      <c r="BR18">
        <v>0.15091575091575099</v>
      </c>
      <c r="BS18">
        <v>0.131282051282051</v>
      </c>
      <c r="BT18">
        <v>0.112820512820513</v>
      </c>
      <c r="BU18">
        <v>9.5677655677655696E-2</v>
      </c>
      <c r="BV18">
        <v>0.08</v>
      </c>
      <c r="BW18">
        <v>6.5787545787545795E-2</v>
      </c>
      <c r="BX18">
        <v>5.3186813186813203E-2</v>
      </c>
      <c r="BY18">
        <v>4.2197802197802198E-2</v>
      </c>
      <c r="BZ18">
        <v>3.2673992673992701E-2</v>
      </c>
      <c r="CA18">
        <v>2.4761904761904801E-2</v>
      </c>
      <c r="CB18">
        <v>1.8315018315018299E-2</v>
      </c>
      <c r="CC18">
        <v>1.3186813186813201E-2</v>
      </c>
      <c r="CD18">
        <v>9.2307692307692299E-3</v>
      </c>
      <c r="CE18">
        <v>6.0073260073260004E-3</v>
      </c>
      <c r="CF18">
        <v>3.80952380952381E-3</v>
      </c>
      <c r="CG18">
        <v>1.75824175824176E-3</v>
      </c>
      <c r="CH18">
        <v>7.3260073260073195E-4</v>
      </c>
      <c r="CI18">
        <v>4.3956043956043902E-4</v>
      </c>
      <c r="CJ18">
        <v>1.4652014652014601E-4</v>
      </c>
      <c r="CK18">
        <v>0</v>
      </c>
    </row>
    <row r="19" spans="1:89">
      <c r="A19">
        <v>15</v>
      </c>
      <c r="B19">
        <v>0.67830000000000001</v>
      </c>
      <c r="C19">
        <f t="shared" si="1"/>
        <v>0.11437952952075509</v>
      </c>
      <c r="D19">
        <f t="shared" si="0"/>
        <v>-8</v>
      </c>
      <c r="E19">
        <v>0.99277605779153799</v>
      </c>
      <c r="F19">
        <v>0.98510983340704705</v>
      </c>
      <c r="G19">
        <v>0.97714875423853698</v>
      </c>
      <c r="H19">
        <v>0.96874539289399997</v>
      </c>
      <c r="I19">
        <v>0.95989974937343403</v>
      </c>
      <c r="J19">
        <v>0.95090667846085797</v>
      </c>
      <c r="K19">
        <v>0.94161875276426399</v>
      </c>
      <c r="L19">
        <v>0.93218339967566</v>
      </c>
      <c r="M19">
        <v>0.92260061919504699</v>
      </c>
      <c r="N19">
        <v>0.91301783871443298</v>
      </c>
      <c r="O19">
        <v>0.90358248562582999</v>
      </c>
      <c r="P19">
        <v>0.894147132537226</v>
      </c>
      <c r="Q19">
        <v>0.88485920684063102</v>
      </c>
      <c r="R19">
        <v>0.87557128114403704</v>
      </c>
      <c r="S19">
        <v>0.86657821023146098</v>
      </c>
      <c r="T19">
        <v>0.85773256671089504</v>
      </c>
      <c r="U19">
        <v>0.84918177797434802</v>
      </c>
      <c r="V19">
        <v>0.840630989237801</v>
      </c>
      <c r="W19">
        <v>0.83222762789326299</v>
      </c>
      <c r="X19">
        <v>0.82382426654872598</v>
      </c>
      <c r="Y19">
        <v>0.815715759988207</v>
      </c>
      <c r="Z19">
        <v>0.80745982603567801</v>
      </c>
      <c r="AA19">
        <v>0.79935131947516003</v>
      </c>
      <c r="AB19">
        <v>0.79124281291464005</v>
      </c>
      <c r="AC19">
        <v>0.78313430635412196</v>
      </c>
      <c r="AD19">
        <v>0.77487837240159296</v>
      </c>
      <c r="AE19">
        <v>0.76662243844906497</v>
      </c>
      <c r="AF19">
        <v>0.75821907710452696</v>
      </c>
      <c r="AG19">
        <v>0.74952086097597004</v>
      </c>
      <c r="AH19">
        <v>0.740822644847413</v>
      </c>
      <c r="AI19">
        <v>0.73182957393483805</v>
      </c>
      <c r="AJ19">
        <v>0.72254164823824296</v>
      </c>
      <c r="AK19">
        <v>0.71295886775762995</v>
      </c>
      <c r="AL19">
        <v>0.70308123249299803</v>
      </c>
      <c r="AM19">
        <v>0.69290874244434697</v>
      </c>
      <c r="AN19">
        <v>0.68229397021966798</v>
      </c>
      <c r="AO19">
        <v>0.67123691581895994</v>
      </c>
      <c r="AP19">
        <v>0.65973757924222398</v>
      </c>
      <c r="AQ19">
        <v>0.64779596048945998</v>
      </c>
      <c r="AR19">
        <v>0.63526463216865803</v>
      </c>
      <c r="AS19">
        <v>0.62229102167182704</v>
      </c>
      <c r="AT19">
        <v>0.60872770160695899</v>
      </c>
      <c r="AU19">
        <v>0.594574671974053</v>
      </c>
      <c r="AV19">
        <v>0.57983193277310996</v>
      </c>
      <c r="AW19">
        <v>0.56435205661211896</v>
      </c>
      <c r="AX19">
        <v>0.54828247088309101</v>
      </c>
      <c r="AY19">
        <v>0.53162317558602501</v>
      </c>
      <c r="AZ19">
        <v>0.51422674332891105</v>
      </c>
      <c r="BA19">
        <v>0.49609317411175102</v>
      </c>
      <c r="BB19">
        <v>0.477369895326553</v>
      </c>
      <c r="BC19">
        <v>0.45805690697331602</v>
      </c>
      <c r="BD19">
        <v>0.43800678166003298</v>
      </c>
      <c r="BE19">
        <v>0.417366946778712</v>
      </c>
      <c r="BF19">
        <v>0.39613740232935302</v>
      </c>
      <c r="BG19">
        <v>0.37446557570396599</v>
      </c>
      <c r="BH19">
        <v>0.35235146690255098</v>
      </c>
      <c r="BI19">
        <v>0.32979507592510698</v>
      </c>
      <c r="BJ19">
        <v>0.30709125755565397</v>
      </c>
      <c r="BK19">
        <v>0.284240011794192</v>
      </c>
      <c r="BL19">
        <v>0.26124133864072002</v>
      </c>
      <c r="BM19">
        <v>0.23853752027126701</v>
      </c>
      <c r="BN19">
        <v>0.21598112929382299</v>
      </c>
      <c r="BO19">
        <v>0.193867020492408</v>
      </c>
      <c r="BP19">
        <v>0.17249004865104001</v>
      </c>
      <c r="BQ19">
        <v>0.15185021376971899</v>
      </c>
      <c r="BR19">
        <v>0.13209494324045401</v>
      </c>
      <c r="BS19">
        <v>0.113519091847265</v>
      </c>
      <c r="BT19">
        <v>9.6270086982161496E-2</v>
      </c>
      <c r="BU19">
        <v>8.04953560371518E-2</v>
      </c>
      <c r="BV19">
        <v>6.6194899012236602E-2</v>
      </c>
      <c r="BW19">
        <v>5.3516143299425098E-2</v>
      </c>
      <c r="BX19">
        <v>4.2459088898717502E-2</v>
      </c>
      <c r="BY19">
        <v>3.2876308418104197E-2</v>
      </c>
      <c r="BZ19">
        <v>2.4915229249594599E-2</v>
      </c>
      <c r="CA19">
        <v>1.84284240011795E-2</v>
      </c>
      <c r="CB19">
        <v>1.32684652808492E-2</v>
      </c>
      <c r="CC19">
        <v>9.2879256965944408E-3</v>
      </c>
      <c r="CD19">
        <v>6.04452307238686E-3</v>
      </c>
      <c r="CE19">
        <v>3.83311219224532E-3</v>
      </c>
      <c r="CF19">
        <v>1.76912870411323E-3</v>
      </c>
      <c r="CG19">
        <v>7.3713696004717804E-4</v>
      </c>
      <c r="CH19">
        <v>4.4228217602830701E-4</v>
      </c>
      <c r="CI19">
        <v>1.47427392009436E-4</v>
      </c>
    </row>
    <row r="20" spans="1:89">
      <c r="A20">
        <v>16</v>
      </c>
      <c r="B20">
        <v>0.6734</v>
      </c>
      <c r="C20">
        <f t="shared" si="1"/>
        <v>0.11406284040581617</v>
      </c>
      <c r="D20">
        <f t="shared" si="0"/>
        <v>-8</v>
      </c>
      <c r="E20">
        <v>0.99227799227799196</v>
      </c>
      <c r="F20">
        <v>0.98425898425898395</v>
      </c>
      <c r="G20">
        <v>0.97579447579447598</v>
      </c>
      <c r="H20">
        <v>0.96688446688446705</v>
      </c>
      <c r="I20">
        <v>0.95782595782595803</v>
      </c>
      <c r="J20">
        <v>0.94847044847044903</v>
      </c>
      <c r="K20">
        <v>0.93896643896643905</v>
      </c>
      <c r="L20">
        <v>0.92931392931392998</v>
      </c>
      <c r="M20">
        <v>0.91966141966142001</v>
      </c>
      <c r="N20">
        <v>0.91015741015741003</v>
      </c>
      <c r="O20">
        <v>0.90065340065340105</v>
      </c>
      <c r="P20">
        <v>0.89129789129789205</v>
      </c>
      <c r="Q20">
        <v>0.88194238194238195</v>
      </c>
      <c r="R20">
        <v>0.87288387288387304</v>
      </c>
      <c r="S20">
        <v>0.863973863973864</v>
      </c>
      <c r="T20">
        <v>0.85536085536085604</v>
      </c>
      <c r="U20">
        <v>0.84674784674784698</v>
      </c>
      <c r="V20">
        <v>0.83828333828333901</v>
      </c>
      <c r="W20">
        <v>0.82981882981883104</v>
      </c>
      <c r="X20">
        <v>0.82165132165132304</v>
      </c>
      <c r="Y20">
        <v>0.81333531333531395</v>
      </c>
      <c r="Z20">
        <v>0.80516780516780595</v>
      </c>
      <c r="AA20">
        <v>0.79700029700029795</v>
      </c>
      <c r="AB20">
        <v>0.78883278883278996</v>
      </c>
      <c r="AC20">
        <v>0.78051678051678097</v>
      </c>
      <c r="AD20">
        <v>0.77220077220077299</v>
      </c>
      <c r="AE20">
        <v>0.76373626373626502</v>
      </c>
      <c r="AF20">
        <v>0.75497475497475597</v>
      </c>
      <c r="AG20">
        <v>0.74621324621324703</v>
      </c>
      <c r="AH20">
        <v>0.737154737154738</v>
      </c>
      <c r="AI20">
        <v>0.72779922779922801</v>
      </c>
      <c r="AJ20">
        <v>0.71814671814671904</v>
      </c>
      <c r="AK20">
        <v>0.70819720819720899</v>
      </c>
      <c r="AL20">
        <v>0.69795069795069897</v>
      </c>
      <c r="AM20">
        <v>0.68725868725868799</v>
      </c>
      <c r="AN20">
        <v>0.67612117612117695</v>
      </c>
      <c r="AO20">
        <v>0.66453816453816605</v>
      </c>
      <c r="AP20">
        <v>0.65250965250965298</v>
      </c>
      <c r="AQ20">
        <v>0.63988713988714097</v>
      </c>
      <c r="AR20">
        <v>0.62681912681912799</v>
      </c>
      <c r="AS20">
        <v>0.61315711315711396</v>
      </c>
      <c r="AT20">
        <v>0.59890109890109899</v>
      </c>
      <c r="AU20">
        <v>0.58405108405108497</v>
      </c>
      <c r="AV20">
        <v>0.56845856845856901</v>
      </c>
      <c r="AW20">
        <v>0.552272052272053</v>
      </c>
      <c r="AX20">
        <v>0.53549153549153605</v>
      </c>
      <c r="AY20">
        <v>0.51796851796851895</v>
      </c>
      <c r="AZ20">
        <v>0.49970299970299997</v>
      </c>
      <c r="BA20">
        <v>0.480843480843482</v>
      </c>
      <c r="BB20">
        <v>0.46138996138996202</v>
      </c>
      <c r="BC20">
        <v>0.44119394119394201</v>
      </c>
      <c r="BD20">
        <v>0.42040392040392099</v>
      </c>
      <c r="BE20">
        <v>0.39901989901989998</v>
      </c>
      <c r="BF20">
        <v>0.37719037719037801</v>
      </c>
      <c r="BG20">
        <v>0.35491535491535497</v>
      </c>
      <c r="BH20">
        <v>0.33219483219483298</v>
      </c>
      <c r="BI20">
        <v>0.30932580932581</v>
      </c>
      <c r="BJ20">
        <v>0.28630828630828697</v>
      </c>
      <c r="BK20">
        <v>0.26314226314226402</v>
      </c>
      <c r="BL20">
        <v>0.24027324027324101</v>
      </c>
      <c r="BM20">
        <v>0.21755271755271799</v>
      </c>
      <c r="BN20">
        <v>0.19527769527769601</v>
      </c>
      <c r="BO20">
        <v>0.17374517374517401</v>
      </c>
      <c r="BP20">
        <v>0.152955152955153</v>
      </c>
      <c r="BQ20">
        <v>0.13305613305613301</v>
      </c>
      <c r="BR20">
        <v>0.114345114345115</v>
      </c>
      <c r="BS20">
        <v>9.6970596970597095E-2</v>
      </c>
      <c r="BT20">
        <v>8.1081081081081197E-2</v>
      </c>
      <c r="BU20">
        <v>6.6676566676566795E-2</v>
      </c>
      <c r="BV20">
        <v>5.3905553905554002E-2</v>
      </c>
      <c r="BW20">
        <v>4.2768042768042802E-2</v>
      </c>
      <c r="BX20">
        <v>3.3115533115533197E-2</v>
      </c>
      <c r="BY20">
        <v>2.5096525096525098E-2</v>
      </c>
      <c r="BZ20">
        <v>1.8562518562518601E-2</v>
      </c>
      <c r="CA20">
        <v>1.33650133650134E-2</v>
      </c>
      <c r="CB20">
        <v>9.3555093555093699E-3</v>
      </c>
      <c r="CC20">
        <v>6.0885060885060901E-3</v>
      </c>
      <c r="CD20">
        <v>3.8610038610038598E-3</v>
      </c>
      <c r="CE20">
        <v>1.78200178200178E-3</v>
      </c>
      <c r="CF20">
        <v>7.4250074250074404E-4</v>
      </c>
      <c r="CG20">
        <v>4.4550044550044598E-4</v>
      </c>
      <c r="CH20">
        <v>1.48500148500149E-4</v>
      </c>
      <c r="CI20">
        <v>0</v>
      </c>
    </row>
    <row r="21" spans="1:89">
      <c r="A21">
        <v>17</v>
      </c>
      <c r="B21">
        <v>0.66820000000000002</v>
      </c>
      <c r="C21">
        <f t="shared" si="1"/>
        <v>0.11377713464029597</v>
      </c>
      <c r="D21">
        <f t="shared" si="0"/>
        <v>-8</v>
      </c>
      <c r="E21">
        <v>0.99191858724932602</v>
      </c>
      <c r="F21">
        <v>0.98338820712361596</v>
      </c>
      <c r="G21">
        <v>0.97440885962286805</v>
      </c>
      <c r="H21">
        <v>0.96527985633044</v>
      </c>
      <c r="I21">
        <v>0.95585154145465501</v>
      </c>
      <c r="J21">
        <v>0.94627357078718999</v>
      </c>
      <c r="K21">
        <v>0.93654594432804605</v>
      </c>
      <c r="L21">
        <v>0.92681831786890201</v>
      </c>
      <c r="M21">
        <v>0.91724034720143699</v>
      </c>
      <c r="N21">
        <v>0.90766237653397197</v>
      </c>
      <c r="O21">
        <v>0.89823406165818598</v>
      </c>
      <c r="P21">
        <v>0.88880574678240098</v>
      </c>
      <c r="Q21">
        <v>0.87967674348997305</v>
      </c>
      <c r="R21">
        <v>0.87069739598922502</v>
      </c>
      <c r="S21">
        <v>0.86201736007183505</v>
      </c>
      <c r="T21">
        <v>0.85333732415444596</v>
      </c>
      <c r="U21">
        <v>0.84480694402873502</v>
      </c>
      <c r="V21">
        <v>0.83627656390302396</v>
      </c>
      <c r="W21">
        <v>0.82804549536067196</v>
      </c>
      <c r="X21">
        <v>0.81966477102664004</v>
      </c>
      <c r="Y21">
        <v>0.81143370248428703</v>
      </c>
      <c r="Z21">
        <v>0.80320263394193403</v>
      </c>
      <c r="AA21">
        <v>0.79497156539958203</v>
      </c>
      <c r="AB21">
        <v>0.78659084106554999</v>
      </c>
      <c r="AC21">
        <v>0.77821011673151796</v>
      </c>
      <c r="AD21">
        <v>0.76967973660580702</v>
      </c>
      <c r="AE21">
        <v>0.76085004489673802</v>
      </c>
      <c r="AF21">
        <v>0.75202035318766902</v>
      </c>
      <c r="AG21">
        <v>0.74289134989524197</v>
      </c>
      <c r="AH21">
        <v>0.73346303501945598</v>
      </c>
      <c r="AI21">
        <v>0.72373540856031204</v>
      </c>
      <c r="AJ21">
        <v>0.71370847051780995</v>
      </c>
      <c r="AK21">
        <v>0.70338222089194902</v>
      </c>
      <c r="AL21">
        <v>0.69260700389105101</v>
      </c>
      <c r="AM21">
        <v>0.68138281951511603</v>
      </c>
      <c r="AN21">
        <v>0.66970966776414298</v>
      </c>
      <c r="AO21">
        <v>0.65758754863813296</v>
      </c>
      <c r="AP21">
        <v>0.64486680634540605</v>
      </c>
      <c r="AQ21">
        <v>0.63169709667764196</v>
      </c>
      <c r="AR21">
        <v>0.61792876384316098</v>
      </c>
      <c r="AS21">
        <v>0.603561807841964</v>
      </c>
      <c r="AT21">
        <v>0.58859622867405004</v>
      </c>
      <c r="AU21">
        <v>0.57288237054774105</v>
      </c>
      <c r="AV21">
        <v>0.55656988925471496</v>
      </c>
      <c r="AW21">
        <v>0.53965878479497198</v>
      </c>
      <c r="AX21">
        <v>0.52199940137683398</v>
      </c>
      <c r="AY21">
        <v>0.50359173900029996</v>
      </c>
      <c r="AZ21">
        <v>0.48458545345704901</v>
      </c>
      <c r="BA21">
        <v>0.464980544747082</v>
      </c>
      <c r="BB21">
        <v>0.44462735707871998</v>
      </c>
      <c r="BC21">
        <v>0.42367554624364001</v>
      </c>
      <c r="BD21">
        <v>0.402125112241844</v>
      </c>
      <c r="BE21">
        <v>0.38012571086501101</v>
      </c>
      <c r="BF21">
        <v>0.35767734211314001</v>
      </c>
      <c r="BG21">
        <v>0.33478000598623198</v>
      </c>
      <c r="BH21">
        <v>0.31173301406764498</v>
      </c>
      <c r="BI21">
        <v>0.288536366357378</v>
      </c>
      <c r="BJ21">
        <v>0.26519006285543301</v>
      </c>
      <c r="BK21">
        <v>0.24214307093684601</v>
      </c>
      <c r="BL21">
        <v>0.219245734809937</v>
      </c>
      <c r="BM21">
        <v>0.196797366058067</v>
      </c>
      <c r="BN21">
        <v>0.17509727626459201</v>
      </c>
      <c r="BO21">
        <v>0.15414546542951199</v>
      </c>
      <c r="BP21">
        <v>0.13409158934450799</v>
      </c>
      <c r="BQ21">
        <v>0.115234959592936</v>
      </c>
      <c r="BR21">
        <v>9.77252319664772E-2</v>
      </c>
      <c r="BS21">
        <v>8.1712062256809395E-2</v>
      </c>
      <c r="BT21">
        <v>6.7195450463933007E-2</v>
      </c>
      <c r="BU21">
        <v>5.43250523795272E-2</v>
      </c>
      <c r="BV21">
        <v>4.3100868003591801E-2</v>
      </c>
      <c r="BW21">
        <v>3.3373241544447797E-2</v>
      </c>
      <c r="BX21">
        <v>2.5291828793774399E-2</v>
      </c>
      <c r="BY21">
        <v>1.8706973959892299E-2</v>
      </c>
      <c r="BZ21">
        <v>1.34690212511224E-2</v>
      </c>
      <c r="CA21">
        <v>9.4283148757856993E-3</v>
      </c>
      <c r="CB21">
        <v>6.1358874588446598E-3</v>
      </c>
      <c r="CC21">
        <v>3.8910505836575902E-3</v>
      </c>
      <c r="CD21">
        <v>1.79586950014966E-3</v>
      </c>
      <c r="CE21">
        <v>7.4827895839569105E-4</v>
      </c>
      <c r="CF21">
        <v>4.4896737503741398E-4</v>
      </c>
      <c r="CG21">
        <v>1.4965579167913799E-4</v>
      </c>
    </row>
    <row r="22" spans="1:89">
      <c r="A22">
        <v>18</v>
      </c>
      <c r="B22">
        <v>0.66279999999999994</v>
      </c>
      <c r="C22">
        <f>IRR(D22:CY22,0.12)</f>
        <v>0.11350650469773194</v>
      </c>
      <c r="D22">
        <f t="shared" si="0"/>
        <v>-8</v>
      </c>
      <c r="E22">
        <v>0.99140012070006001</v>
      </c>
      <c r="F22">
        <v>0.98234761617380795</v>
      </c>
      <c r="G22">
        <v>0.97314423657211901</v>
      </c>
      <c r="H22">
        <v>0.963639106819554</v>
      </c>
      <c r="I22">
        <v>0.95398310199155101</v>
      </c>
      <c r="J22">
        <v>0.94417622208811103</v>
      </c>
      <c r="K22">
        <v>0.93436934218467105</v>
      </c>
      <c r="L22">
        <v>0.92471333735666905</v>
      </c>
      <c r="M22">
        <v>0.91505733252866694</v>
      </c>
      <c r="N22">
        <v>0.90555220277610204</v>
      </c>
      <c r="O22">
        <v>0.89604707302353703</v>
      </c>
      <c r="P22">
        <v>0.88684369342184699</v>
      </c>
      <c r="Q22">
        <v>0.87779118889559504</v>
      </c>
      <c r="R22">
        <v>0.86904043452021795</v>
      </c>
      <c r="S22">
        <v>0.86028968014484097</v>
      </c>
      <c r="T22">
        <v>0.85168980084490098</v>
      </c>
      <c r="U22">
        <v>0.84308992154496198</v>
      </c>
      <c r="V22">
        <v>0.83479179239589696</v>
      </c>
      <c r="W22">
        <v>0.82634278817139495</v>
      </c>
      <c r="X22">
        <v>0.81804465902233003</v>
      </c>
      <c r="Y22">
        <v>0.80974652987326501</v>
      </c>
      <c r="Z22">
        <v>0.80144840072420098</v>
      </c>
      <c r="AA22">
        <v>0.79299939649969797</v>
      </c>
      <c r="AB22">
        <v>0.78455039227519596</v>
      </c>
      <c r="AC22">
        <v>0.77595051297525697</v>
      </c>
      <c r="AD22">
        <v>0.767048883524442</v>
      </c>
      <c r="AE22">
        <v>0.75814725407362704</v>
      </c>
      <c r="AF22">
        <v>0.748943874471937</v>
      </c>
      <c r="AG22">
        <v>0.73943874471937199</v>
      </c>
      <c r="AH22">
        <v>0.72963186481593301</v>
      </c>
      <c r="AI22">
        <v>0.71952323476161795</v>
      </c>
      <c r="AJ22">
        <v>0.70911285455642803</v>
      </c>
      <c r="AK22">
        <v>0.69824984912492505</v>
      </c>
      <c r="AL22">
        <v>0.68693421846711</v>
      </c>
      <c r="AM22">
        <v>0.675165962582982</v>
      </c>
      <c r="AN22">
        <v>0.66294508147254105</v>
      </c>
      <c r="AO22">
        <v>0.65012070006035105</v>
      </c>
      <c r="AP22">
        <v>0.63684369342184699</v>
      </c>
      <c r="AQ22">
        <v>0.62296318648159399</v>
      </c>
      <c r="AR22">
        <v>0.60847917923959005</v>
      </c>
      <c r="AS22">
        <v>0.59339167169583595</v>
      </c>
      <c r="AT22">
        <v>0.57754978877489505</v>
      </c>
      <c r="AU22">
        <v>0.56110440555220298</v>
      </c>
      <c r="AV22">
        <v>0.54405552202776097</v>
      </c>
      <c r="AW22">
        <v>0.52625226312613205</v>
      </c>
      <c r="AX22">
        <v>0.50769462884731498</v>
      </c>
      <c r="AY22">
        <v>0.48853349426674803</v>
      </c>
      <c r="AZ22">
        <v>0.46876885938443003</v>
      </c>
      <c r="BA22">
        <v>0.44824984912492499</v>
      </c>
      <c r="BB22">
        <v>0.42712733856367002</v>
      </c>
      <c r="BC22">
        <v>0.405401327700664</v>
      </c>
      <c r="BD22">
        <v>0.38322269161134598</v>
      </c>
      <c r="BE22">
        <v>0.360591430295715</v>
      </c>
      <c r="BF22">
        <v>0.33750754375377201</v>
      </c>
      <c r="BG22">
        <v>0.31427278213639098</v>
      </c>
      <c r="BH22">
        <v>0.29088714544357303</v>
      </c>
      <c r="BI22">
        <v>0.26735063367531697</v>
      </c>
      <c r="BJ22">
        <v>0.244115872057936</v>
      </c>
      <c r="BK22">
        <v>0.22103198551599301</v>
      </c>
      <c r="BL22">
        <v>0.19840072420036201</v>
      </c>
      <c r="BM22">
        <v>0.176523838261919</v>
      </c>
      <c r="BN22">
        <v>0.155401327700664</v>
      </c>
      <c r="BO22">
        <v>0.135184067592034</v>
      </c>
      <c r="BP22">
        <v>0.116173808086904</v>
      </c>
      <c r="BQ22">
        <v>9.8521424260712198E-2</v>
      </c>
      <c r="BR22">
        <v>8.2377791188895697E-2</v>
      </c>
      <c r="BS22">
        <v>6.7742908871454496E-2</v>
      </c>
      <c r="BT22">
        <v>5.4767652383826297E-2</v>
      </c>
      <c r="BU22">
        <v>4.3452021726010898E-2</v>
      </c>
      <c r="BV22">
        <v>3.3645141822571001E-2</v>
      </c>
      <c r="BW22">
        <v>2.54978877489439E-2</v>
      </c>
      <c r="BX22">
        <v>1.8859384429692198E-2</v>
      </c>
      <c r="BY22">
        <v>1.35787567893784E-2</v>
      </c>
      <c r="BZ22">
        <v>9.5051297525648795E-3</v>
      </c>
      <c r="CA22">
        <v>6.1858780929390502E-3</v>
      </c>
      <c r="CB22">
        <v>3.9227519613759801E-3</v>
      </c>
      <c r="CC22">
        <v>1.8105009052504499E-3</v>
      </c>
      <c r="CD22">
        <v>7.5437537718768901E-4</v>
      </c>
      <c r="CE22">
        <v>4.5262522631261297E-4</v>
      </c>
      <c r="CF22">
        <v>1.5087507543753799E-4</v>
      </c>
      <c r="CG22">
        <v>0</v>
      </c>
    </row>
    <row r="23" spans="1:89">
      <c r="A23">
        <v>19</v>
      </c>
      <c r="B23">
        <v>0.65710000000000002</v>
      </c>
      <c r="C23">
        <f t="shared" ref="C23:C34" si="2">IRR(D23:CY23,0.14)</f>
        <v>0.11327551453645572</v>
      </c>
      <c r="D23">
        <f t="shared" si="0"/>
        <v>-8</v>
      </c>
      <c r="E23">
        <v>0.99086896971541605</v>
      </c>
      <c r="F23">
        <v>0.98158575559275596</v>
      </c>
      <c r="G23">
        <v>0.97199817379394304</v>
      </c>
      <c r="H23">
        <v>0.96225840815705399</v>
      </c>
      <c r="I23">
        <v>0.95236645868208802</v>
      </c>
      <c r="J23">
        <v>0.94247450920712295</v>
      </c>
      <c r="K23">
        <v>0.932734743570233</v>
      </c>
      <c r="L23">
        <v>0.92299497793334395</v>
      </c>
      <c r="M23">
        <v>0.91340739613453104</v>
      </c>
      <c r="N23">
        <v>0.90381981433571801</v>
      </c>
      <c r="O23">
        <v>0.89453660021305803</v>
      </c>
      <c r="P23">
        <v>0.88540556992847397</v>
      </c>
      <c r="Q23">
        <v>0.87657890732004295</v>
      </c>
      <c r="R23">
        <v>0.86775224471161205</v>
      </c>
      <c r="S23">
        <v>0.85907776594125795</v>
      </c>
      <c r="T23">
        <v>0.85040328717090397</v>
      </c>
      <c r="U23">
        <v>0.84203317607670203</v>
      </c>
      <c r="V23">
        <v>0.83351088114442295</v>
      </c>
      <c r="W23">
        <v>0.82514077005022102</v>
      </c>
      <c r="X23">
        <v>0.81677065895601897</v>
      </c>
      <c r="Y23">
        <v>0.80840054786181703</v>
      </c>
      <c r="Z23">
        <v>0.79987825292953896</v>
      </c>
      <c r="AA23">
        <v>0.79135595799726099</v>
      </c>
      <c r="AB23">
        <v>0.78268147922690601</v>
      </c>
      <c r="AC23">
        <v>0.77370263278039897</v>
      </c>
      <c r="AD23">
        <v>0.76472378633389104</v>
      </c>
      <c r="AE23">
        <v>0.75544057221123095</v>
      </c>
      <c r="AF23">
        <v>0.74585299041241804</v>
      </c>
      <c r="AG23">
        <v>0.73596104093745296</v>
      </c>
      <c r="AH23">
        <v>0.72576472378633405</v>
      </c>
      <c r="AI23">
        <v>0.71526403895906299</v>
      </c>
      <c r="AJ23">
        <v>0.70430680261756295</v>
      </c>
      <c r="AK23">
        <v>0.69289301476183296</v>
      </c>
      <c r="AL23">
        <v>0.681022675391874</v>
      </c>
      <c r="AM23">
        <v>0.66869578450768596</v>
      </c>
      <c r="AN23">
        <v>0.65576015827119205</v>
      </c>
      <c r="AO23">
        <v>0.64236798052046895</v>
      </c>
      <c r="AP23">
        <v>0.62836706741744097</v>
      </c>
      <c r="AQ23">
        <v>0.61375741896210601</v>
      </c>
      <c r="AR23">
        <v>0.59853903515446705</v>
      </c>
      <c r="AS23">
        <v>0.58255973215644496</v>
      </c>
      <c r="AT23">
        <v>0.565971693806118</v>
      </c>
      <c r="AU23">
        <v>0.54877492010348505</v>
      </c>
      <c r="AV23">
        <v>0.53081722721047098</v>
      </c>
      <c r="AW23">
        <v>0.512098615127074</v>
      </c>
      <c r="AX23">
        <v>0.49277126769137197</v>
      </c>
      <c r="AY23">
        <v>0.47283518490336401</v>
      </c>
      <c r="AZ23">
        <v>0.45213818292497399</v>
      </c>
      <c r="BA23">
        <v>0.43083244559427802</v>
      </c>
      <c r="BB23">
        <v>0.40891797291127702</v>
      </c>
      <c r="BC23">
        <v>0.38654694871404699</v>
      </c>
      <c r="BD23">
        <v>0.363719373002587</v>
      </c>
      <c r="BE23">
        <v>0.34043524577689899</v>
      </c>
      <c r="BF23">
        <v>0.31699893471313401</v>
      </c>
      <c r="BG23">
        <v>0.293410439811292</v>
      </c>
      <c r="BH23">
        <v>0.26966976107137403</v>
      </c>
      <c r="BI23">
        <v>0.24623345000760899</v>
      </c>
      <c r="BJ23">
        <v>0.22294932278192101</v>
      </c>
      <c r="BK23">
        <v>0.20012174707046099</v>
      </c>
      <c r="BL23">
        <v>0.17805509054938401</v>
      </c>
      <c r="BM23">
        <v>0.15674935321868799</v>
      </c>
      <c r="BN23">
        <v>0.13635671891645099</v>
      </c>
      <c r="BO23">
        <v>0.117181555318825</v>
      </c>
      <c r="BP23">
        <v>9.9376046263886894E-2</v>
      </c>
      <c r="BQ23">
        <v>8.30923755897124E-2</v>
      </c>
      <c r="BR23">
        <v>6.8330543296302004E-2</v>
      </c>
      <c r="BS23">
        <v>5.5242733221731899E-2</v>
      </c>
      <c r="BT23">
        <v>4.3828945366002202E-2</v>
      </c>
      <c r="BU23">
        <v>3.3936995891036402E-2</v>
      </c>
      <c r="BV23">
        <v>2.5719068634911E-2</v>
      </c>
      <c r="BW23">
        <v>1.9022979759549599E-2</v>
      </c>
      <c r="BX23">
        <v>1.3696545426875701E-2</v>
      </c>
      <c r="BY23">
        <v>9.5875817988129702E-3</v>
      </c>
      <c r="BZ23">
        <v>6.2395373611322498E-3</v>
      </c>
      <c r="CA23">
        <v>3.9567797899863E-3</v>
      </c>
      <c r="CB23">
        <v>1.8262060569167601E-3</v>
      </c>
      <c r="CC23">
        <v>7.6091919038198197E-4</v>
      </c>
      <c r="CD23">
        <v>4.5655151422918899E-4</v>
      </c>
      <c r="CE23">
        <v>1.52183838076396E-4</v>
      </c>
    </row>
    <row r="24" spans="1:89">
      <c r="A24">
        <v>20</v>
      </c>
      <c r="B24">
        <v>0.65110000000000001</v>
      </c>
      <c r="C24">
        <f t="shared" si="2"/>
        <v>0.11309096196153938</v>
      </c>
      <c r="D24">
        <f t="shared" si="0"/>
        <v>-8</v>
      </c>
      <c r="E24">
        <v>0.990631239440946</v>
      </c>
      <c r="F24">
        <v>0.98095530640454598</v>
      </c>
      <c r="G24">
        <v>0.97112578712947295</v>
      </c>
      <c r="H24">
        <v>0.96114268161572702</v>
      </c>
      <c r="I24">
        <v>0.95115957610198099</v>
      </c>
      <c r="J24">
        <v>0.94133005682690796</v>
      </c>
      <c r="K24">
        <v>0.93150053755183604</v>
      </c>
      <c r="L24">
        <v>0.92182460451543502</v>
      </c>
      <c r="M24">
        <v>0.912148671479036</v>
      </c>
      <c r="N24">
        <v>0.902779910919982</v>
      </c>
      <c r="O24">
        <v>0.89356473659960101</v>
      </c>
      <c r="P24">
        <v>0.88465673475656603</v>
      </c>
      <c r="Q24">
        <v>0.87574873291353095</v>
      </c>
      <c r="R24">
        <v>0.86699431730916998</v>
      </c>
      <c r="S24">
        <v>0.85823990170480802</v>
      </c>
      <c r="T24">
        <v>0.84979265857779196</v>
      </c>
      <c r="U24">
        <v>0.841191829212103</v>
      </c>
      <c r="V24">
        <v>0.83274458608508695</v>
      </c>
      <c r="W24">
        <v>0.824297342958071</v>
      </c>
      <c r="X24">
        <v>0.81585009983105505</v>
      </c>
      <c r="Y24">
        <v>0.80724927046536599</v>
      </c>
      <c r="Z24">
        <v>0.79864844109967703</v>
      </c>
      <c r="AA24">
        <v>0.78989402549531595</v>
      </c>
      <c r="AB24">
        <v>0.78083243741360697</v>
      </c>
      <c r="AC24">
        <v>0.77177084933189899</v>
      </c>
      <c r="AD24">
        <v>0.76240208877284599</v>
      </c>
      <c r="AE24">
        <v>0.75272615573644597</v>
      </c>
      <c r="AF24">
        <v>0.74274305022270004</v>
      </c>
      <c r="AG24">
        <v>0.73245277223160798</v>
      </c>
      <c r="AH24">
        <v>0.72185532176317002</v>
      </c>
      <c r="AI24">
        <v>0.71079711257871303</v>
      </c>
      <c r="AJ24">
        <v>0.69927814467823701</v>
      </c>
      <c r="AK24">
        <v>0.68729841806174197</v>
      </c>
      <c r="AL24">
        <v>0.67485793272922801</v>
      </c>
      <c r="AM24">
        <v>0.66180310244202201</v>
      </c>
      <c r="AN24">
        <v>0.64828751343879598</v>
      </c>
      <c r="AO24">
        <v>0.63415757948087903</v>
      </c>
      <c r="AP24">
        <v>0.61941330056826904</v>
      </c>
      <c r="AQ24">
        <v>0.60405467670096802</v>
      </c>
      <c r="AR24">
        <v>0.58792812164030095</v>
      </c>
      <c r="AS24">
        <v>0.57118722162494295</v>
      </c>
      <c r="AT24">
        <v>0.55383197665489203</v>
      </c>
      <c r="AU24">
        <v>0.53570880049147596</v>
      </c>
      <c r="AV24">
        <v>0.51681769313469605</v>
      </c>
      <c r="AW24">
        <v>0.49731224082322301</v>
      </c>
      <c r="AX24">
        <v>0.47719244355705798</v>
      </c>
      <c r="AY24">
        <v>0.45630471509752801</v>
      </c>
      <c r="AZ24">
        <v>0.43480264168330601</v>
      </c>
      <c r="BA24">
        <v>0.41268622331439098</v>
      </c>
      <c r="BB24">
        <v>0.39010904622945802</v>
      </c>
      <c r="BC24">
        <v>0.36707111042850599</v>
      </c>
      <c r="BD24">
        <v>0.34357241591153398</v>
      </c>
      <c r="BE24">
        <v>0.31992013515589002</v>
      </c>
      <c r="BF24">
        <v>0.29611426816157299</v>
      </c>
      <c r="BG24">
        <v>0.27215481492858301</v>
      </c>
      <c r="BH24">
        <v>0.24850253417293799</v>
      </c>
      <c r="BI24">
        <v>0.22500383965596699</v>
      </c>
      <c r="BJ24">
        <v>0.20196590385501501</v>
      </c>
      <c r="BK24">
        <v>0.17969589924742799</v>
      </c>
      <c r="BL24">
        <v>0.15819382583320499</v>
      </c>
      <c r="BM24">
        <v>0.13761326985102099</v>
      </c>
      <c r="BN24">
        <v>0.118261403778222</v>
      </c>
      <c r="BO24">
        <v>0.100291813853479</v>
      </c>
      <c r="BP24">
        <v>8.3858086315466193E-2</v>
      </c>
      <c r="BQ24">
        <v>6.8960221164183794E-2</v>
      </c>
      <c r="BR24">
        <v>5.5751804638304502E-2</v>
      </c>
      <c r="BS24">
        <v>4.4232836737828303E-2</v>
      </c>
      <c r="BT24">
        <v>3.4249731224082397E-2</v>
      </c>
      <c r="BU24">
        <v>2.5956074335739501E-2</v>
      </c>
      <c r="BV24">
        <v>1.9198279834126902E-2</v>
      </c>
      <c r="BW24">
        <v>1.38227614805714E-2</v>
      </c>
      <c r="BX24">
        <v>9.6759330363999398E-3</v>
      </c>
      <c r="BY24">
        <v>6.2970357855936096E-3</v>
      </c>
      <c r="BZ24">
        <v>3.9932422054983902E-3</v>
      </c>
      <c r="CA24">
        <v>1.8430348640761801E-3</v>
      </c>
      <c r="CB24">
        <v>7.6793119336507505E-4</v>
      </c>
      <c r="CC24">
        <v>4.6075871601904502E-4</v>
      </c>
      <c r="CD24">
        <v>1.5358623867301499E-4</v>
      </c>
      <c r="CE24">
        <v>0</v>
      </c>
    </row>
    <row r="25" spans="1:89">
      <c r="A25">
        <v>21</v>
      </c>
      <c r="B25">
        <v>0.64500000000000002</v>
      </c>
      <c r="C25">
        <f t="shared" si="2"/>
        <v>0.11291680450483714</v>
      </c>
      <c r="D25">
        <f t="shared" si="0"/>
        <v>-8</v>
      </c>
      <c r="E25">
        <v>0.99023255813953504</v>
      </c>
      <c r="F25">
        <v>0.98031007751938004</v>
      </c>
      <c r="G25">
        <v>0.97023255813953502</v>
      </c>
      <c r="H25">
        <v>0.96015503875968999</v>
      </c>
      <c r="I25">
        <v>0.950232558139535</v>
      </c>
      <c r="J25">
        <v>0.94031007751938001</v>
      </c>
      <c r="K25">
        <v>0.93054263565891504</v>
      </c>
      <c r="L25">
        <v>0.92077519379844996</v>
      </c>
      <c r="M25">
        <v>0.91131782945736495</v>
      </c>
      <c r="N25">
        <v>0.90201550387596896</v>
      </c>
      <c r="O25">
        <v>0.89302325581395403</v>
      </c>
      <c r="P25">
        <v>0.88403100775193799</v>
      </c>
      <c r="Q25">
        <v>0.87519379844961298</v>
      </c>
      <c r="R25">
        <v>0.86635658914728797</v>
      </c>
      <c r="S25">
        <v>0.85782945736434202</v>
      </c>
      <c r="T25">
        <v>0.84914728682170604</v>
      </c>
      <c r="U25">
        <v>0.84062015503875998</v>
      </c>
      <c r="V25">
        <v>0.83209302325581402</v>
      </c>
      <c r="W25">
        <v>0.82356589147286896</v>
      </c>
      <c r="X25">
        <v>0.81488372093023298</v>
      </c>
      <c r="Y25">
        <v>0.806201550387597</v>
      </c>
      <c r="Z25">
        <v>0.79736434108527199</v>
      </c>
      <c r="AA25">
        <v>0.78821705426356603</v>
      </c>
      <c r="AB25">
        <v>0.77906976744185996</v>
      </c>
      <c r="AC25">
        <v>0.76961240310077605</v>
      </c>
      <c r="AD25">
        <v>0.75984496124030998</v>
      </c>
      <c r="AE25">
        <v>0.74976744186046496</v>
      </c>
      <c r="AF25">
        <v>0.73937984496124098</v>
      </c>
      <c r="AG25">
        <v>0.72868217054263595</v>
      </c>
      <c r="AH25">
        <v>0.71751937984496195</v>
      </c>
      <c r="AI25">
        <v>0.70589147286821796</v>
      </c>
      <c r="AJ25">
        <v>0.693798449612404</v>
      </c>
      <c r="AK25">
        <v>0.68124031007751995</v>
      </c>
      <c r="AL25">
        <v>0.668062015503877</v>
      </c>
      <c r="AM25">
        <v>0.65441860465116297</v>
      </c>
      <c r="AN25">
        <v>0.64015503875969004</v>
      </c>
      <c r="AO25">
        <v>0.625271317829457</v>
      </c>
      <c r="AP25">
        <v>0.60976744186046505</v>
      </c>
      <c r="AQ25">
        <v>0.59348837209302296</v>
      </c>
      <c r="AR25">
        <v>0.57658914728682198</v>
      </c>
      <c r="AS25">
        <v>0.55906976744186099</v>
      </c>
      <c r="AT25">
        <v>0.54077519379844996</v>
      </c>
      <c r="AU25">
        <v>0.52170542635659001</v>
      </c>
      <c r="AV25">
        <v>0.50201550387597005</v>
      </c>
      <c r="AW25">
        <v>0.48170542635659003</v>
      </c>
      <c r="AX25">
        <v>0.46062015503876003</v>
      </c>
      <c r="AY25">
        <v>0.43891472868217102</v>
      </c>
      <c r="AZ25">
        <v>0.416589147286822</v>
      </c>
      <c r="BA25">
        <v>0.39379844961240401</v>
      </c>
      <c r="BB25">
        <v>0.37054263565891499</v>
      </c>
      <c r="BC25">
        <v>0.34682170542635699</v>
      </c>
      <c r="BD25">
        <v>0.32294573643410901</v>
      </c>
      <c r="BE25">
        <v>0.298914728682171</v>
      </c>
      <c r="BF25">
        <v>0.27472868217054303</v>
      </c>
      <c r="BG25">
        <v>0.25085271317829499</v>
      </c>
      <c r="BH25">
        <v>0.22713178294573699</v>
      </c>
      <c r="BI25">
        <v>0.203875968992248</v>
      </c>
      <c r="BJ25">
        <v>0.18139534883720901</v>
      </c>
      <c r="BK25">
        <v>0.15968992248062</v>
      </c>
      <c r="BL25">
        <v>0.138914728682171</v>
      </c>
      <c r="BM25">
        <v>0.119379844961241</v>
      </c>
      <c r="BN25">
        <v>0.10124031007752</v>
      </c>
      <c r="BO25">
        <v>8.4651162790697801E-2</v>
      </c>
      <c r="BP25">
        <v>6.9612403100775294E-2</v>
      </c>
      <c r="BQ25">
        <v>5.6279069767441903E-2</v>
      </c>
      <c r="BR25">
        <v>4.4651162790697703E-2</v>
      </c>
      <c r="BS25">
        <v>3.4573643410852797E-2</v>
      </c>
      <c r="BT25">
        <v>2.62015503875969E-2</v>
      </c>
      <c r="BU25">
        <v>1.9379844961240299E-2</v>
      </c>
      <c r="BV25">
        <v>1.3953488372093001E-2</v>
      </c>
      <c r="BW25">
        <v>9.7674418604651193E-3</v>
      </c>
      <c r="BX25">
        <v>6.3565891472868201E-3</v>
      </c>
      <c r="BY25">
        <v>4.0310077519379898E-3</v>
      </c>
      <c r="BZ25">
        <v>1.8604651162790701E-3</v>
      </c>
      <c r="CA25">
        <v>7.7519379844961304E-4</v>
      </c>
      <c r="CB25">
        <v>4.6511627906976801E-4</v>
      </c>
      <c r="CC25">
        <v>1.55038759689923E-4</v>
      </c>
      <c r="CD25">
        <v>0</v>
      </c>
    </row>
    <row r="26" spans="1:89">
      <c r="A26">
        <v>22</v>
      </c>
      <c r="B26">
        <v>0.63870000000000005</v>
      </c>
      <c r="C26">
        <f t="shared" si="2"/>
        <v>0.1127773806132278</v>
      </c>
      <c r="D26">
        <f t="shared" si="0"/>
        <v>-8</v>
      </c>
      <c r="E26">
        <v>0.989979646156255</v>
      </c>
      <c r="F26">
        <v>0.97980272428370097</v>
      </c>
      <c r="G26">
        <v>0.96962580241114804</v>
      </c>
      <c r="H26">
        <v>0.95960544856740304</v>
      </c>
      <c r="I26">
        <v>0.94958509472365804</v>
      </c>
      <c r="J26">
        <v>0.93972130890872096</v>
      </c>
      <c r="K26">
        <v>0.929857523093784</v>
      </c>
      <c r="L26">
        <v>0.92030687333646499</v>
      </c>
      <c r="M26">
        <v>0.91091279160795402</v>
      </c>
      <c r="N26">
        <v>0.90183184593706001</v>
      </c>
      <c r="O26">
        <v>0.89275090026616599</v>
      </c>
      <c r="P26">
        <v>0.88382652262408101</v>
      </c>
      <c r="Q26">
        <v>0.87490214498199603</v>
      </c>
      <c r="R26">
        <v>0.86629090339752701</v>
      </c>
      <c r="S26">
        <v>0.85752309378424996</v>
      </c>
      <c r="T26">
        <v>0.84891185219978105</v>
      </c>
      <c r="U26">
        <v>0.84030061061531303</v>
      </c>
      <c r="V26">
        <v>0.83168936903084401</v>
      </c>
      <c r="W26">
        <v>0.82292155941756695</v>
      </c>
      <c r="X26">
        <v>0.81415374980429001</v>
      </c>
      <c r="Y26">
        <v>0.80522937216220503</v>
      </c>
      <c r="Z26">
        <v>0.79599185846250198</v>
      </c>
      <c r="AA26">
        <v>0.78675434476279904</v>
      </c>
      <c r="AB26">
        <v>0.77720369500548003</v>
      </c>
      <c r="AC26">
        <v>0.76733990919054296</v>
      </c>
      <c r="AD26">
        <v>0.75716298731799003</v>
      </c>
      <c r="AE26">
        <v>0.74667292938781904</v>
      </c>
      <c r="AF26">
        <v>0.73586973540003198</v>
      </c>
      <c r="AG26">
        <v>0.72459683732581903</v>
      </c>
      <c r="AH26">
        <v>0.71285423516517998</v>
      </c>
      <c r="AI26">
        <v>0.70064192891811605</v>
      </c>
      <c r="AJ26">
        <v>0.68795991858462602</v>
      </c>
      <c r="AK26">
        <v>0.67465163613590196</v>
      </c>
      <c r="AL26">
        <v>0.66087364960075201</v>
      </c>
      <c r="AM26">
        <v>0.64646939095036804</v>
      </c>
      <c r="AN26">
        <v>0.63143886018475004</v>
      </c>
      <c r="AO26">
        <v>0.61578205730389901</v>
      </c>
      <c r="AP26">
        <v>0.59934241427900403</v>
      </c>
      <c r="AQ26">
        <v>0.58227649913887602</v>
      </c>
      <c r="AR26">
        <v>0.56458431188351399</v>
      </c>
      <c r="AS26">
        <v>0.546109284484109</v>
      </c>
      <c r="AT26">
        <v>0.52685141694066095</v>
      </c>
      <c r="AU26">
        <v>0.50696727728197999</v>
      </c>
      <c r="AV26">
        <v>0.486456865508064</v>
      </c>
      <c r="AW26">
        <v>0.465163613590105</v>
      </c>
      <c r="AX26">
        <v>0.44324408955691302</v>
      </c>
      <c r="AY26">
        <v>0.42069829340848602</v>
      </c>
      <c r="AZ26">
        <v>0.39768279317363397</v>
      </c>
      <c r="BA26">
        <v>0.37419758885235699</v>
      </c>
      <c r="BB26">
        <v>0.35024268044465401</v>
      </c>
      <c r="BC26">
        <v>0.32613120400814199</v>
      </c>
      <c r="BD26">
        <v>0.301863159542822</v>
      </c>
      <c r="BE26">
        <v>0.27743854704869297</v>
      </c>
      <c r="BF26">
        <v>0.25332707061218102</v>
      </c>
      <c r="BG26">
        <v>0.22937216220447801</v>
      </c>
      <c r="BH26">
        <v>0.20588695788319999</v>
      </c>
      <c r="BI26">
        <v>0.18318459370596499</v>
      </c>
      <c r="BJ26">
        <v>0.16126506967277299</v>
      </c>
      <c r="BK26">
        <v>0.140284953812432</v>
      </c>
      <c r="BL26">
        <v>0.120557382182558</v>
      </c>
      <c r="BM26">
        <v>0.10223892281196199</v>
      </c>
      <c r="BN26">
        <v>8.5486143729450501E-2</v>
      </c>
      <c r="BO26">
        <v>7.0299044935024299E-2</v>
      </c>
      <c r="BP26">
        <v>5.6834194457491799E-2</v>
      </c>
      <c r="BQ26">
        <v>4.5091592296853E-2</v>
      </c>
      <c r="BR26">
        <v>3.4914670424299403E-2</v>
      </c>
      <c r="BS26">
        <v>2.64599968686395E-2</v>
      </c>
      <c r="BT26">
        <v>1.9571003601064701E-2</v>
      </c>
      <c r="BU26">
        <v>1.4091122592766601E-2</v>
      </c>
      <c r="BV26">
        <v>9.8637858149366008E-3</v>
      </c>
      <c r="BW26">
        <v>6.4192891811492101E-3</v>
      </c>
      <c r="BX26">
        <v>4.0707687490214497E-3</v>
      </c>
      <c r="BY26">
        <v>1.8788163457022101E-3</v>
      </c>
      <c r="BZ26">
        <v>7.8284014404258703E-4</v>
      </c>
      <c r="CA26">
        <v>4.6970408642555198E-4</v>
      </c>
      <c r="CB26">
        <v>1.5656802880851701E-4</v>
      </c>
    </row>
    <row r="27" spans="1:89">
      <c r="A27">
        <v>23</v>
      </c>
      <c r="B27">
        <v>0.63229999999999997</v>
      </c>
      <c r="C27">
        <f t="shared" si="2"/>
        <v>0.11265625772497107</v>
      </c>
      <c r="D27">
        <f t="shared" si="0"/>
        <v>-8</v>
      </c>
      <c r="E27">
        <v>0.98972006958722103</v>
      </c>
      <c r="F27">
        <v>0.97944013917444295</v>
      </c>
      <c r="G27">
        <v>0.96931836153724504</v>
      </c>
      <c r="H27">
        <v>0.95919658390004803</v>
      </c>
      <c r="I27">
        <v>0.94923295903843097</v>
      </c>
      <c r="J27">
        <v>0.93926933417681502</v>
      </c>
      <c r="K27">
        <v>0.92962201486636098</v>
      </c>
      <c r="L27">
        <v>0.92013284833148801</v>
      </c>
      <c r="M27">
        <v>0.91095998734777806</v>
      </c>
      <c r="N27">
        <v>0.90178712636406799</v>
      </c>
      <c r="O27">
        <v>0.892772418155939</v>
      </c>
      <c r="P27">
        <v>0.88375770994781</v>
      </c>
      <c r="Q27">
        <v>0.87505930729084402</v>
      </c>
      <c r="R27">
        <v>0.86620275185829598</v>
      </c>
      <c r="S27">
        <v>0.85750434920132901</v>
      </c>
      <c r="T27">
        <v>0.84880594654436203</v>
      </c>
      <c r="U27">
        <v>0.84010754388739495</v>
      </c>
      <c r="V27">
        <v>0.83125098845484702</v>
      </c>
      <c r="W27">
        <v>0.82239443302229898</v>
      </c>
      <c r="X27">
        <v>0.81337972481417098</v>
      </c>
      <c r="Y27">
        <v>0.80404871105487896</v>
      </c>
      <c r="Z27">
        <v>0.79471769729558694</v>
      </c>
      <c r="AA27">
        <v>0.78507037798513402</v>
      </c>
      <c r="AB27">
        <v>0.77510675312351696</v>
      </c>
      <c r="AC27">
        <v>0.76482682271073898</v>
      </c>
      <c r="AD27">
        <v>0.75423058674679799</v>
      </c>
      <c r="AE27">
        <v>0.74331804523169398</v>
      </c>
      <c r="AF27">
        <v>0.73193104538984699</v>
      </c>
      <c r="AG27">
        <v>0.72006958722125602</v>
      </c>
      <c r="AH27">
        <v>0.70773367072592197</v>
      </c>
      <c r="AI27">
        <v>0.69492329590384405</v>
      </c>
      <c r="AJ27">
        <v>0.68148030997944098</v>
      </c>
      <c r="AK27">
        <v>0.66756286572829404</v>
      </c>
      <c r="AL27">
        <v>0.65301281037482195</v>
      </c>
      <c r="AM27">
        <v>0.63783014391902604</v>
      </c>
      <c r="AN27">
        <v>0.62201486636090497</v>
      </c>
      <c r="AO27">
        <v>0.60540882492487702</v>
      </c>
      <c r="AP27">
        <v>0.58817017238652503</v>
      </c>
      <c r="AQ27">
        <v>0.57029890874584899</v>
      </c>
      <c r="AR27">
        <v>0.55163688122726595</v>
      </c>
      <c r="AS27">
        <v>0.53218408983077703</v>
      </c>
      <c r="AT27">
        <v>0.51209868733196295</v>
      </c>
      <c r="AU27">
        <v>0.491380673730824</v>
      </c>
      <c r="AV27">
        <v>0.46987189625178</v>
      </c>
      <c r="AW27">
        <v>0.44773050767041001</v>
      </c>
      <c r="AX27">
        <v>0.42495650798671503</v>
      </c>
      <c r="AY27">
        <v>0.40170804997627702</v>
      </c>
      <c r="AZ27">
        <v>0.37798513363909603</v>
      </c>
      <c r="BA27">
        <v>0.35378775897517001</v>
      </c>
      <c r="BB27">
        <v>0.32943223153566398</v>
      </c>
      <c r="BC27">
        <v>0.30491855132057599</v>
      </c>
      <c r="BD27">
        <v>0.280246718329907</v>
      </c>
      <c r="BE27">
        <v>0.25589119089040002</v>
      </c>
      <c r="BF27">
        <v>0.231693816226475</v>
      </c>
      <c r="BG27">
        <v>0.20797089988929299</v>
      </c>
      <c r="BH27">
        <v>0.185038747430017</v>
      </c>
      <c r="BI27">
        <v>0.16289735884864801</v>
      </c>
      <c r="BJ27">
        <v>0.14170488692076599</v>
      </c>
      <c r="BK27">
        <v>0.121777637197533</v>
      </c>
      <c r="BL27">
        <v>0.103273762454531</v>
      </c>
      <c r="BM27">
        <v>8.63514154673415E-2</v>
      </c>
      <c r="BN27">
        <v>7.1010596235963994E-2</v>
      </c>
      <c r="BO27">
        <v>5.7409457535979799E-2</v>
      </c>
      <c r="BP27">
        <v>4.5547999367388903E-2</v>
      </c>
      <c r="BQ27">
        <v>3.5268068954610203E-2</v>
      </c>
      <c r="BR27">
        <v>2.6727819073224801E-2</v>
      </c>
      <c r="BS27">
        <v>1.9769096947651402E-2</v>
      </c>
      <c r="BT27">
        <v>1.4233749802308999E-2</v>
      </c>
      <c r="BU27">
        <v>9.9636248616163207E-3</v>
      </c>
      <c r="BV27">
        <v>6.4842637988296696E-3</v>
      </c>
      <c r="BW27">
        <v>4.1119721651115002E-3</v>
      </c>
      <c r="BX27">
        <v>1.89783330697454E-3</v>
      </c>
      <c r="BY27">
        <v>7.9076387790605698E-4</v>
      </c>
      <c r="BZ27">
        <v>4.7445832674363402E-4</v>
      </c>
      <c r="CA27">
        <v>1.5815277558121199E-4</v>
      </c>
      <c r="CB27">
        <v>0</v>
      </c>
    </row>
    <row r="28" spans="1:89">
      <c r="A28">
        <v>24</v>
      </c>
      <c r="B28">
        <v>0.62580000000000002</v>
      </c>
      <c r="C28">
        <f t="shared" si="2"/>
        <v>0.11255674986051288</v>
      </c>
      <c r="D28">
        <f t="shared" si="0"/>
        <v>-8</v>
      </c>
      <c r="E28">
        <v>0.98961329498242201</v>
      </c>
      <c r="F28">
        <v>0.97938638542665402</v>
      </c>
      <c r="G28">
        <v>0.96915947587088502</v>
      </c>
      <c r="H28">
        <v>0.95909236177692503</v>
      </c>
      <c r="I28">
        <v>0.94902524768296603</v>
      </c>
      <c r="J28">
        <v>0.93927772451262403</v>
      </c>
      <c r="K28">
        <v>0.92968999680409103</v>
      </c>
      <c r="L28">
        <v>0.92042186001917503</v>
      </c>
      <c r="M28">
        <v>0.91115372323426003</v>
      </c>
      <c r="N28">
        <v>0.90204538191115402</v>
      </c>
      <c r="O28">
        <v>0.89293704058804801</v>
      </c>
      <c r="P28">
        <v>0.88414829018855901</v>
      </c>
      <c r="Q28">
        <v>0.875199744327262</v>
      </c>
      <c r="R28">
        <v>0.86641099392777299</v>
      </c>
      <c r="S28">
        <v>0.85762224352828398</v>
      </c>
      <c r="T28">
        <v>0.84883349312879497</v>
      </c>
      <c r="U28">
        <v>0.83988494726749696</v>
      </c>
      <c r="V28">
        <v>0.83093640140619995</v>
      </c>
      <c r="W28">
        <v>0.82182806008309395</v>
      </c>
      <c r="X28">
        <v>0.81240012783636895</v>
      </c>
      <c r="Y28">
        <v>0.80297219558964505</v>
      </c>
      <c r="Z28">
        <v>0.79322467241930295</v>
      </c>
      <c r="AA28">
        <v>0.78315755832534295</v>
      </c>
      <c r="AB28">
        <v>0.77277085330776596</v>
      </c>
      <c r="AC28">
        <v>0.76206455736657097</v>
      </c>
      <c r="AD28">
        <v>0.75103867050175799</v>
      </c>
      <c r="AE28">
        <v>0.73953339725151801</v>
      </c>
      <c r="AF28">
        <v>0.72754873761585204</v>
      </c>
      <c r="AG28">
        <v>0.71508469159475896</v>
      </c>
      <c r="AH28">
        <v>0.702141259188239</v>
      </c>
      <c r="AI28">
        <v>0.68855864493448404</v>
      </c>
      <c r="AJ28">
        <v>0.67449664429530198</v>
      </c>
      <c r="AK28">
        <v>0.65979546180888504</v>
      </c>
      <c r="AL28">
        <v>0.644455097475231</v>
      </c>
      <c r="AM28">
        <v>0.62847555129434296</v>
      </c>
      <c r="AN28">
        <v>0.61169702780441004</v>
      </c>
      <c r="AO28">
        <v>0.59427932246724202</v>
      </c>
      <c r="AP28">
        <v>0.57622243528283801</v>
      </c>
      <c r="AQ28">
        <v>0.55736657078939</v>
      </c>
      <c r="AR28">
        <v>0.53771172898689701</v>
      </c>
      <c r="AS28">
        <v>0.51741770533716902</v>
      </c>
      <c r="AT28">
        <v>0.49648449984020498</v>
      </c>
      <c r="AU28">
        <v>0.47475231703419701</v>
      </c>
      <c r="AV28">
        <v>0.45238095238095299</v>
      </c>
      <c r="AW28">
        <v>0.42937040588047298</v>
      </c>
      <c r="AX28">
        <v>0.40588047299456698</v>
      </c>
      <c r="AY28">
        <v>0.38191115372323398</v>
      </c>
      <c r="AZ28">
        <v>0.35746244806647498</v>
      </c>
      <c r="BA28">
        <v>0.33285394694790699</v>
      </c>
      <c r="BB28">
        <v>0.30808565036753</v>
      </c>
      <c r="BC28">
        <v>0.28315755832534401</v>
      </c>
      <c r="BD28">
        <v>0.25854905720677601</v>
      </c>
      <c r="BE28">
        <v>0.23410035155001599</v>
      </c>
      <c r="BF28">
        <v>0.21013103227868299</v>
      </c>
      <c r="BG28">
        <v>0.18696069031639501</v>
      </c>
      <c r="BH28">
        <v>0.16458932566315099</v>
      </c>
      <c r="BI28">
        <v>0.14317673378076101</v>
      </c>
      <c r="BJ28">
        <v>0.12304250559284099</v>
      </c>
      <c r="BK28">
        <v>0.104346436561202</v>
      </c>
      <c r="BL28">
        <v>8.7248322147651006E-2</v>
      </c>
      <c r="BM28">
        <v>7.1748162352189199E-2</v>
      </c>
      <c r="BN28">
        <v>5.8005752636625198E-2</v>
      </c>
      <c r="BO28">
        <v>4.6021093000958802E-2</v>
      </c>
      <c r="BP28">
        <v>3.5634387983381297E-2</v>
      </c>
      <c r="BQ28">
        <v>2.70054330457015E-2</v>
      </c>
      <c r="BR28">
        <v>1.9974432726110599E-2</v>
      </c>
      <c r="BS28">
        <v>1.4381591562799599E-2</v>
      </c>
      <c r="BT28">
        <v>1.00671140939597E-2</v>
      </c>
      <c r="BU28">
        <v>6.5516139341642698E-3</v>
      </c>
      <c r="BV28">
        <v>4.1546820070309997E-3</v>
      </c>
      <c r="BW28">
        <v>1.91754554170661E-3</v>
      </c>
      <c r="BX28">
        <v>7.9897730904442295E-4</v>
      </c>
      <c r="BY28">
        <v>4.7938638542665402E-4</v>
      </c>
      <c r="BZ28">
        <v>1.5979546180888501E-4</v>
      </c>
    </row>
    <row r="29" spans="1:89">
      <c r="A29">
        <v>25</v>
      </c>
      <c r="B29">
        <v>0.61929999999999996</v>
      </c>
      <c r="C29">
        <f t="shared" si="2"/>
        <v>0.11245967515828575</v>
      </c>
      <c r="D29">
        <f t="shared" si="0"/>
        <v>-8</v>
      </c>
      <c r="E29">
        <v>0.98966575165509496</v>
      </c>
      <c r="F29">
        <v>0.97933150331018903</v>
      </c>
      <c r="G29">
        <v>0.96915872759567201</v>
      </c>
      <c r="H29">
        <v>0.95898595188115598</v>
      </c>
      <c r="I29">
        <v>0.94913612142741799</v>
      </c>
      <c r="J29">
        <v>0.93944776360406901</v>
      </c>
      <c r="K29">
        <v>0.93008235104149894</v>
      </c>
      <c r="L29">
        <v>0.92071693847892799</v>
      </c>
      <c r="M29">
        <v>0.91151299854674706</v>
      </c>
      <c r="N29">
        <v>0.90230905861456601</v>
      </c>
      <c r="O29">
        <v>0.89342806394316299</v>
      </c>
      <c r="P29">
        <v>0.88438559664136995</v>
      </c>
      <c r="Q29">
        <v>0.87550460196996704</v>
      </c>
      <c r="R29">
        <v>0.86662360729856303</v>
      </c>
      <c r="S29">
        <v>0.85774261262716001</v>
      </c>
      <c r="T29">
        <v>0.84870014532536697</v>
      </c>
      <c r="U29">
        <v>0.83965767802357505</v>
      </c>
      <c r="V29">
        <v>0.830453738091394</v>
      </c>
      <c r="W29">
        <v>0.82092685289843303</v>
      </c>
      <c r="X29">
        <v>0.81139996770547396</v>
      </c>
      <c r="Y29">
        <v>0.80155013725173596</v>
      </c>
      <c r="Z29">
        <v>0.79137736153721905</v>
      </c>
      <c r="AA29">
        <v>0.78088164056192499</v>
      </c>
      <c r="AB29">
        <v>0.77006297432585202</v>
      </c>
      <c r="AC29">
        <v>0.75892136282900002</v>
      </c>
      <c r="AD29">
        <v>0.74729533344098198</v>
      </c>
      <c r="AE29">
        <v>0.735184886161796</v>
      </c>
      <c r="AF29">
        <v>0.72259002099144298</v>
      </c>
      <c r="AG29">
        <v>0.70951073792992103</v>
      </c>
      <c r="AH29">
        <v>0.69578556434684402</v>
      </c>
      <c r="AI29">
        <v>0.68157597287259797</v>
      </c>
      <c r="AJ29">
        <v>0.66672049087679597</v>
      </c>
      <c r="AK29">
        <v>0.65121911835943802</v>
      </c>
      <c r="AL29">
        <v>0.63507185532052302</v>
      </c>
      <c r="AM29">
        <v>0.61811722912966205</v>
      </c>
      <c r="AN29">
        <v>0.60051671241724602</v>
      </c>
      <c r="AO29">
        <v>0.58227030518327205</v>
      </c>
      <c r="AP29">
        <v>0.56321653479735201</v>
      </c>
      <c r="AQ29">
        <v>0.543355401259487</v>
      </c>
      <c r="AR29">
        <v>0.52284837720006505</v>
      </c>
      <c r="AS29">
        <v>0.50169546261908704</v>
      </c>
      <c r="AT29">
        <v>0.47973518488616201</v>
      </c>
      <c r="AU29">
        <v>0.45712901663168098</v>
      </c>
      <c r="AV29">
        <v>0.43387695785564401</v>
      </c>
      <c r="AW29">
        <v>0.41014048118843899</v>
      </c>
      <c r="AX29">
        <v>0.38591958663006598</v>
      </c>
      <c r="AY29">
        <v>0.36121427418052698</v>
      </c>
      <c r="AZ29">
        <v>0.33634748910059797</v>
      </c>
      <c r="BA29">
        <v>0.31131923139028</v>
      </c>
      <c r="BB29">
        <v>0.28612950104957202</v>
      </c>
      <c r="BC29">
        <v>0.26126271596964301</v>
      </c>
      <c r="BD29">
        <v>0.23655740352010299</v>
      </c>
      <c r="BE29">
        <v>0.21233650896173101</v>
      </c>
      <c r="BF29">
        <v>0.18892297755530399</v>
      </c>
      <c r="BG29">
        <v>0.16631680930082399</v>
      </c>
      <c r="BH29">
        <v>0.14467947682867799</v>
      </c>
      <c r="BI29">
        <v>0.124333925399645</v>
      </c>
      <c r="BJ29">
        <v>0.10544162764411399</v>
      </c>
      <c r="BK29">
        <v>8.8164056192475401E-2</v>
      </c>
      <c r="BL29">
        <v>7.2501211044727995E-2</v>
      </c>
      <c r="BM29">
        <v>5.86145648312612E-2</v>
      </c>
      <c r="BN29">
        <v>4.6504117552075001E-2</v>
      </c>
      <c r="BO29">
        <v>3.6008396576780302E-2</v>
      </c>
      <c r="BP29">
        <v>2.72888745357662E-2</v>
      </c>
      <c r="BQ29">
        <v>2.01840787986436E-2</v>
      </c>
      <c r="BR29">
        <v>1.45325367350234E-2</v>
      </c>
      <c r="BS29">
        <v>1.0172775714516399E-2</v>
      </c>
      <c r="BT29">
        <v>6.62037784595511E-3</v>
      </c>
      <c r="BU29">
        <v>4.19828839011787E-3</v>
      </c>
      <c r="BV29">
        <v>1.9376715646697901E-3</v>
      </c>
      <c r="BW29">
        <v>8.0736315194574501E-4</v>
      </c>
      <c r="BX29">
        <v>4.8441789116744697E-4</v>
      </c>
      <c r="BY29">
        <v>1.6147263038914899E-4</v>
      </c>
      <c r="BZ29">
        <v>0</v>
      </c>
    </row>
    <row r="30" spans="1:89">
      <c r="A30">
        <v>26</v>
      </c>
      <c r="B30">
        <v>0.6129</v>
      </c>
      <c r="C30">
        <f t="shared" si="2"/>
        <v>0.11234236008716436</v>
      </c>
      <c r="D30">
        <f t="shared" si="0"/>
        <v>-8</v>
      </c>
      <c r="E30">
        <v>0.98955783977810396</v>
      </c>
      <c r="F30">
        <v>0.97927883830967499</v>
      </c>
      <c r="G30">
        <v>0.96899983684124602</v>
      </c>
      <c r="H30">
        <v>0.95904715287975195</v>
      </c>
      <c r="I30">
        <v>0.94925762767172495</v>
      </c>
      <c r="J30">
        <v>0.93979441997063196</v>
      </c>
      <c r="K30">
        <v>0.93033121226953897</v>
      </c>
      <c r="L30">
        <v>0.92103116332191304</v>
      </c>
      <c r="M30">
        <v>0.911731114374287</v>
      </c>
      <c r="N30">
        <v>0.90275738293359498</v>
      </c>
      <c r="O30">
        <v>0.893620492739436</v>
      </c>
      <c r="P30">
        <v>0.88464676129874398</v>
      </c>
      <c r="Q30">
        <v>0.87567302985805195</v>
      </c>
      <c r="R30">
        <v>0.86669929841736004</v>
      </c>
      <c r="S30">
        <v>0.85756240822320096</v>
      </c>
      <c r="T30">
        <v>0.84842551802904198</v>
      </c>
      <c r="U30">
        <v>0.83912546908141705</v>
      </c>
      <c r="V30">
        <v>0.829499102626856</v>
      </c>
      <c r="W30">
        <v>0.81987273617229495</v>
      </c>
      <c r="X30">
        <v>0.80992005221080099</v>
      </c>
      <c r="Y30">
        <v>0.79964105074237202</v>
      </c>
      <c r="Z30">
        <v>0.78903573176700903</v>
      </c>
      <c r="AA30">
        <v>0.77810409528471203</v>
      </c>
      <c r="AB30">
        <v>0.76684614129548101</v>
      </c>
      <c r="AC30">
        <v>0.75509871104584803</v>
      </c>
      <c r="AD30">
        <v>0.74286180453581396</v>
      </c>
      <c r="AE30">
        <v>0.73013542176537805</v>
      </c>
      <c r="AF30">
        <v>0.71691956273454105</v>
      </c>
      <c r="AG30">
        <v>0.70305106868983602</v>
      </c>
      <c r="AH30">
        <v>0.68869309838472903</v>
      </c>
      <c r="AI30">
        <v>0.67368249306575301</v>
      </c>
      <c r="AJ30">
        <v>0.65801925273290895</v>
      </c>
      <c r="AK30">
        <v>0.64170337738619698</v>
      </c>
      <c r="AL30">
        <v>0.62457170827214903</v>
      </c>
      <c r="AM30">
        <v>0.60678740414423304</v>
      </c>
      <c r="AN30">
        <v>0.58835046500244803</v>
      </c>
      <c r="AO30">
        <v>0.56909773209332704</v>
      </c>
      <c r="AP30">
        <v>0.54902920541687095</v>
      </c>
      <c r="AQ30">
        <v>0.52830804372654705</v>
      </c>
      <c r="AR30">
        <v>0.50693424702235301</v>
      </c>
      <c r="AS30">
        <v>0.48474465655082499</v>
      </c>
      <c r="AT30">
        <v>0.461902431065427</v>
      </c>
      <c r="AU30">
        <v>0.43840757056616098</v>
      </c>
      <c r="AV30">
        <v>0.41442323380649398</v>
      </c>
      <c r="AW30">
        <v>0.38994942078642603</v>
      </c>
      <c r="AX30">
        <v>0.36498613150595599</v>
      </c>
      <c r="AY30">
        <v>0.339859683472019</v>
      </c>
      <c r="AZ30">
        <v>0.31457007668461501</v>
      </c>
      <c r="BA30">
        <v>0.28911731114374301</v>
      </c>
      <c r="BB30">
        <v>0.26399086310980602</v>
      </c>
      <c r="BC30">
        <v>0.23902757382933601</v>
      </c>
      <c r="BD30">
        <v>0.214553760809268</v>
      </c>
      <c r="BE30">
        <v>0.19089574155653499</v>
      </c>
      <c r="BF30">
        <v>0.168053516071137</v>
      </c>
      <c r="BG30">
        <v>0.14619024310654299</v>
      </c>
      <c r="BH30">
        <v>0.12563224016968499</v>
      </c>
      <c r="BI30">
        <v>0.10654266601403201</v>
      </c>
      <c r="BJ30">
        <v>8.9084679393049607E-2</v>
      </c>
      <c r="BK30">
        <v>7.3258280306738602E-2</v>
      </c>
      <c r="BL30">
        <v>5.9226627508565902E-2</v>
      </c>
      <c r="BM30">
        <v>4.69897209985317E-2</v>
      </c>
      <c r="BN30">
        <v>3.6384402023168602E-2</v>
      </c>
      <c r="BO30">
        <v>2.7573829335943899E-2</v>
      </c>
      <c r="BP30">
        <v>2.0394844183390499E-2</v>
      </c>
      <c r="BQ30">
        <v>1.46842878120411E-2</v>
      </c>
      <c r="BR30">
        <v>1.02790014684288E-2</v>
      </c>
      <c r="BS30">
        <v>6.6895088921520704E-3</v>
      </c>
      <c r="BT30">
        <v>4.2421275901452097E-3</v>
      </c>
      <c r="BU30">
        <v>1.9579050416054801E-3</v>
      </c>
      <c r="BV30">
        <v>8.1579376733561799E-4</v>
      </c>
      <c r="BW30">
        <v>4.8947626040137101E-4</v>
      </c>
      <c r="BX30">
        <v>1.6315875346712401E-4</v>
      </c>
    </row>
    <row r="31" spans="1:89">
      <c r="A31">
        <v>27</v>
      </c>
      <c r="B31">
        <v>0.60650000000000004</v>
      </c>
      <c r="C31">
        <f t="shared" si="2"/>
        <v>0.11222527905878575</v>
      </c>
      <c r="D31">
        <f t="shared" si="0"/>
        <v>-8</v>
      </c>
      <c r="E31">
        <v>0.98961253091508605</v>
      </c>
      <c r="F31">
        <v>0.97922506183017299</v>
      </c>
      <c r="G31">
        <v>0.96916735366858997</v>
      </c>
      <c r="H31">
        <v>0.95927452596867302</v>
      </c>
      <c r="I31">
        <v>0.94971145919208599</v>
      </c>
      <c r="J31">
        <v>0.94014839241549897</v>
      </c>
      <c r="K31">
        <v>0.93075020610057801</v>
      </c>
      <c r="L31">
        <v>0.92135201978565595</v>
      </c>
      <c r="M31">
        <v>0.91228359439406503</v>
      </c>
      <c r="N31">
        <v>0.90305028854080904</v>
      </c>
      <c r="O31">
        <v>0.89398186314921702</v>
      </c>
      <c r="P31">
        <v>0.88491343775762599</v>
      </c>
      <c r="Q31">
        <v>0.87584501236603496</v>
      </c>
      <c r="R31">
        <v>0.86661170651277797</v>
      </c>
      <c r="S31">
        <v>0.85737840065952198</v>
      </c>
      <c r="T31">
        <v>0.84798021434460003</v>
      </c>
      <c r="U31">
        <v>0.83825226710634804</v>
      </c>
      <c r="V31">
        <v>0.82852431986809505</v>
      </c>
      <c r="W31">
        <v>0.81846661170651303</v>
      </c>
      <c r="X31">
        <v>0.80807914262159897</v>
      </c>
      <c r="Y31">
        <v>0.79736191261335498</v>
      </c>
      <c r="Z31">
        <v>0.78631492168178097</v>
      </c>
      <c r="AA31">
        <v>0.77493816982687602</v>
      </c>
      <c r="AB31">
        <v>0.76306677658697497</v>
      </c>
      <c r="AC31">
        <v>0.75070074196207803</v>
      </c>
      <c r="AD31">
        <v>0.73784006595218499</v>
      </c>
      <c r="AE31">
        <v>0.72448474855729705</v>
      </c>
      <c r="AF31">
        <v>0.71046990931574705</v>
      </c>
      <c r="AG31">
        <v>0.69596042868920005</v>
      </c>
      <c r="AH31">
        <v>0.68079142621599298</v>
      </c>
      <c r="AI31">
        <v>0.66496290189612495</v>
      </c>
      <c r="AJ31">
        <v>0.64847485572959596</v>
      </c>
      <c r="AK31">
        <v>0.63116240725474004</v>
      </c>
      <c r="AL31">
        <v>0.61319043693322395</v>
      </c>
      <c r="AM31">
        <v>0.594558944765046</v>
      </c>
      <c r="AN31">
        <v>0.57510305028854103</v>
      </c>
      <c r="AO31">
        <v>0.55482275350371002</v>
      </c>
      <c r="AP31">
        <v>0.53388293487221805</v>
      </c>
      <c r="AQ31">
        <v>0.51228359439406501</v>
      </c>
      <c r="AR31">
        <v>0.489859851607585</v>
      </c>
      <c r="AS31">
        <v>0.46677658697444402</v>
      </c>
      <c r="AT31">
        <v>0.44303380049464203</v>
      </c>
      <c r="AU31">
        <v>0.41879637262984398</v>
      </c>
      <c r="AV31">
        <v>0.39406430338005</v>
      </c>
      <c r="AW31">
        <v>0.36883759274526001</v>
      </c>
      <c r="AX31">
        <v>0.34344600164880501</v>
      </c>
      <c r="AY31">
        <v>0.31788953009068499</v>
      </c>
      <c r="AZ31">
        <v>0.29216817807089901</v>
      </c>
      <c r="BA31">
        <v>0.26677658697444401</v>
      </c>
      <c r="BB31">
        <v>0.241549876339654</v>
      </c>
      <c r="BC31">
        <v>0.21681780708986001</v>
      </c>
      <c r="BD31">
        <v>0.192910140148393</v>
      </c>
      <c r="BE31">
        <v>0.169826875515252</v>
      </c>
      <c r="BF31">
        <v>0.14773289365210199</v>
      </c>
      <c r="BG31">
        <v>0.12695795548227501</v>
      </c>
      <c r="BH31">
        <v>0.10766694146743599</v>
      </c>
      <c r="BI31">
        <v>9.0024732069249894E-2</v>
      </c>
      <c r="BJ31">
        <v>7.4031327287716497E-2</v>
      </c>
      <c r="BK31">
        <v>5.9851607584501303E-2</v>
      </c>
      <c r="BL31">
        <v>4.7485572959604302E-2</v>
      </c>
      <c r="BM31">
        <v>3.6768342951360299E-2</v>
      </c>
      <c r="BN31">
        <v>2.78647980214345E-2</v>
      </c>
      <c r="BO31">
        <v>2.06100577081616E-2</v>
      </c>
      <c r="BP31">
        <v>1.4839241549876399E-2</v>
      </c>
      <c r="BQ31">
        <v>1.0387469084913401E-2</v>
      </c>
      <c r="BR31">
        <v>6.7600989282770004E-3</v>
      </c>
      <c r="BS31">
        <v>4.2868920032976101E-3</v>
      </c>
      <c r="BT31">
        <v>1.97856553998351E-3</v>
      </c>
      <c r="BU31">
        <v>8.2440230832646398E-4</v>
      </c>
      <c r="BV31">
        <v>4.9464138499587804E-4</v>
      </c>
      <c r="BW31">
        <v>1.64880461665293E-4</v>
      </c>
      <c r="BX31">
        <v>0</v>
      </c>
    </row>
    <row r="32" spans="1:89">
      <c r="A32">
        <v>28</v>
      </c>
      <c r="B32">
        <v>0.60019999999999996</v>
      </c>
      <c r="C32">
        <f t="shared" si="2"/>
        <v>0.11208485410100204</v>
      </c>
      <c r="D32">
        <f t="shared" si="0"/>
        <v>-8</v>
      </c>
      <c r="E32">
        <v>0.98950349883372202</v>
      </c>
      <c r="F32">
        <v>0.97934021992669096</v>
      </c>
      <c r="G32">
        <v>0.96934355214928403</v>
      </c>
      <c r="H32">
        <v>0.95968010663112302</v>
      </c>
      <c r="I32">
        <v>0.95001666111296301</v>
      </c>
      <c r="J32">
        <v>0.94051982672442602</v>
      </c>
      <c r="K32">
        <v>0.93102299233588903</v>
      </c>
      <c r="L32">
        <v>0.92185938020659897</v>
      </c>
      <c r="M32">
        <v>0.91252915694768499</v>
      </c>
      <c r="N32">
        <v>0.90336554481839404</v>
      </c>
      <c r="O32">
        <v>0.89420193268910397</v>
      </c>
      <c r="P32">
        <v>0.88503832055981402</v>
      </c>
      <c r="Q32">
        <v>0.87570809730089905</v>
      </c>
      <c r="R32">
        <v>0.86637787404198596</v>
      </c>
      <c r="S32">
        <v>0.85688103965344897</v>
      </c>
      <c r="T32">
        <v>0.84705098300566495</v>
      </c>
      <c r="U32">
        <v>0.83722092635788004</v>
      </c>
      <c r="V32">
        <v>0.82705764745084998</v>
      </c>
      <c r="W32">
        <v>0.81656114628457199</v>
      </c>
      <c r="X32">
        <v>0.80573142285904698</v>
      </c>
      <c r="Y32">
        <v>0.79456847717427503</v>
      </c>
      <c r="Z32">
        <v>0.78307230923025695</v>
      </c>
      <c r="AA32">
        <v>0.77107630789736803</v>
      </c>
      <c r="AB32">
        <v>0.75858047317560895</v>
      </c>
      <c r="AC32">
        <v>0.74558480506497904</v>
      </c>
      <c r="AD32">
        <v>0.73208930356547897</v>
      </c>
      <c r="AE32">
        <v>0.71792735754748405</v>
      </c>
      <c r="AF32">
        <v>0.70326557814061996</v>
      </c>
      <c r="AG32">
        <v>0.68793735421526103</v>
      </c>
      <c r="AH32">
        <v>0.67194268577140903</v>
      </c>
      <c r="AI32">
        <v>0.65528157280906296</v>
      </c>
      <c r="AJ32">
        <v>0.63778740419860003</v>
      </c>
      <c r="AK32">
        <v>0.61962679106964402</v>
      </c>
      <c r="AL32">
        <v>0.60079973342219295</v>
      </c>
      <c r="AM32">
        <v>0.58113962012662501</v>
      </c>
      <c r="AN32">
        <v>0.56064645118293899</v>
      </c>
      <c r="AO32">
        <v>0.53948683772076</v>
      </c>
      <c r="AP32">
        <v>0.51766077974008695</v>
      </c>
      <c r="AQ32">
        <v>0.49500166611129598</v>
      </c>
      <c r="AR32">
        <v>0.47167610796401199</v>
      </c>
      <c r="AS32">
        <v>0.44768410529823399</v>
      </c>
      <c r="AT32">
        <v>0.42319226924358599</v>
      </c>
      <c r="AU32">
        <v>0.398200599800067</v>
      </c>
      <c r="AV32">
        <v>0.37270909696767801</v>
      </c>
      <c r="AW32">
        <v>0.347050983005665</v>
      </c>
      <c r="AX32">
        <v>0.32122625791402898</v>
      </c>
      <c r="AY32">
        <v>0.29523492169276899</v>
      </c>
      <c r="AZ32">
        <v>0.26957680773075698</v>
      </c>
      <c r="BA32">
        <v>0.24408530489836699</v>
      </c>
      <c r="BB32">
        <v>0.219093635454849</v>
      </c>
      <c r="BC32">
        <v>0.19493502165944701</v>
      </c>
      <c r="BD32">
        <v>0.171609463512163</v>
      </c>
      <c r="BE32">
        <v>0.149283572142619</v>
      </c>
      <c r="BF32">
        <v>0.12829056981006301</v>
      </c>
      <c r="BG32">
        <v>0.10879706764411901</v>
      </c>
      <c r="BH32">
        <v>9.0969676774408606E-2</v>
      </c>
      <c r="BI32">
        <v>7.4808397200933102E-2</v>
      </c>
      <c r="BJ32">
        <v>6.0479840053315602E-2</v>
      </c>
      <c r="BK32">
        <v>4.7984005331556202E-2</v>
      </c>
      <c r="BL32">
        <v>3.71542819060314E-2</v>
      </c>
      <c r="BM32">
        <v>2.8157280906364601E-2</v>
      </c>
      <c r="BN32">
        <v>2.08263912029324E-2</v>
      </c>
      <c r="BO32">
        <v>1.4995001666111301E-2</v>
      </c>
      <c r="BP32">
        <v>1.04965011662779E-2</v>
      </c>
      <c r="BQ32">
        <v>6.83105631456181E-3</v>
      </c>
      <c r="BR32">
        <v>4.3318893702099298E-3</v>
      </c>
      <c r="BS32">
        <v>1.99933355548151E-3</v>
      </c>
      <c r="BT32">
        <v>8.3305564811729396E-4</v>
      </c>
      <c r="BU32">
        <v>4.9983338887037696E-4</v>
      </c>
      <c r="BV32">
        <v>1.6661112962345899E-4</v>
      </c>
    </row>
    <row r="33" spans="1:74">
      <c r="A33">
        <v>29</v>
      </c>
      <c r="B33">
        <v>0.59389999999999998</v>
      </c>
      <c r="C33">
        <f t="shared" si="2"/>
        <v>0.11194171333092418</v>
      </c>
      <c r="D33">
        <f t="shared" si="0"/>
        <v>-8</v>
      </c>
      <c r="E33">
        <v>0.98972891059100898</v>
      </c>
      <c r="F33">
        <v>0.979626199696919</v>
      </c>
      <c r="G33">
        <v>0.96986024583263197</v>
      </c>
      <c r="H33">
        <v>0.96009429196834495</v>
      </c>
      <c r="I33">
        <v>0.95049671661895996</v>
      </c>
      <c r="J33">
        <v>0.94089914126957497</v>
      </c>
      <c r="K33">
        <v>0.93163832294999205</v>
      </c>
      <c r="L33">
        <v>0.92220912611550798</v>
      </c>
      <c r="M33">
        <v>0.91294830779592595</v>
      </c>
      <c r="N33">
        <v>0.90368748947634303</v>
      </c>
      <c r="O33">
        <v>0.894426671156761</v>
      </c>
      <c r="P33">
        <v>0.88499747432227605</v>
      </c>
      <c r="Q33">
        <v>0.87556827748779198</v>
      </c>
      <c r="R33">
        <v>0.86597070213840699</v>
      </c>
      <c r="S33">
        <v>0.85603636975921804</v>
      </c>
      <c r="T33">
        <v>0.84610203738002998</v>
      </c>
      <c r="U33">
        <v>0.83583094797103896</v>
      </c>
      <c r="V33">
        <v>0.82522310153224399</v>
      </c>
      <c r="W33">
        <v>0.81427849806364705</v>
      </c>
      <c r="X33">
        <v>0.80299713756524704</v>
      </c>
      <c r="Y33">
        <v>0.79137902003704297</v>
      </c>
      <c r="Z33">
        <v>0.77925576696413601</v>
      </c>
      <c r="AA33">
        <v>0.76662737834652295</v>
      </c>
      <c r="AB33">
        <v>0.753493854184207</v>
      </c>
      <c r="AC33">
        <v>0.73985519447718495</v>
      </c>
      <c r="AD33">
        <v>0.72554302071055798</v>
      </c>
      <c r="AE33">
        <v>0.71072571139922502</v>
      </c>
      <c r="AF33">
        <v>0.69523488802828703</v>
      </c>
      <c r="AG33">
        <v>0.67907055059774302</v>
      </c>
      <c r="AH33">
        <v>0.66223269910759397</v>
      </c>
      <c r="AI33">
        <v>0.64455295504293597</v>
      </c>
      <c r="AJ33">
        <v>0.62619969691867305</v>
      </c>
      <c r="AK33">
        <v>0.607172924734804</v>
      </c>
      <c r="AL33">
        <v>0.58730425997642699</v>
      </c>
      <c r="AM33">
        <v>0.56659370264354303</v>
      </c>
      <c r="AN33">
        <v>0.54520963125105204</v>
      </c>
      <c r="AO33">
        <v>0.52315204579895602</v>
      </c>
      <c r="AP33">
        <v>0.50025256777235205</v>
      </c>
      <c r="AQ33">
        <v>0.476679575686143</v>
      </c>
      <c r="AR33">
        <v>0.45243306954032703</v>
      </c>
      <c r="AS33">
        <v>0.42768142784980601</v>
      </c>
      <c r="AT33">
        <v>0.40242465061458199</v>
      </c>
      <c r="AU33">
        <v>0.37666273783465198</v>
      </c>
      <c r="AV33">
        <v>0.350732446539822</v>
      </c>
      <c r="AW33">
        <v>0.32463377673008897</v>
      </c>
      <c r="AX33">
        <v>0.29836672840545603</v>
      </c>
      <c r="AY33">
        <v>0.27243643711062498</v>
      </c>
      <c r="AZ33">
        <v>0.24667452433069501</v>
      </c>
      <c r="BA33">
        <v>0.22141774709547099</v>
      </c>
      <c r="BB33">
        <v>0.19700286243475301</v>
      </c>
      <c r="BC33">
        <v>0.17342987034854401</v>
      </c>
      <c r="BD33">
        <v>0.150867149351743</v>
      </c>
      <c r="BE33">
        <v>0.12965145647415399</v>
      </c>
      <c r="BF33">
        <v>0.109951170230679</v>
      </c>
      <c r="BG33">
        <v>9.1934669136218297E-2</v>
      </c>
      <c r="BH33">
        <v>7.5601953190772897E-2</v>
      </c>
      <c r="BI33">
        <v>6.1121400909243999E-2</v>
      </c>
      <c r="BJ33">
        <v>4.8493012291631603E-2</v>
      </c>
      <c r="BK33">
        <v>3.7548408823034202E-2</v>
      </c>
      <c r="BL33">
        <v>2.8455969018353299E-2</v>
      </c>
      <c r="BM33">
        <v>2.1047314362687301E-2</v>
      </c>
      <c r="BN33">
        <v>1.5154066341134901E-2</v>
      </c>
      <c r="BO33">
        <v>1.0607846438794401E-2</v>
      </c>
      <c r="BP33">
        <v>6.90351911096144E-3</v>
      </c>
      <c r="BQ33">
        <v>4.3778413874389598E-3</v>
      </c>
      <c r="BR33">
        <v>2.0205421788179801E-3</v>
      </c>
      <c r="BS33">
        <v>8.4189257450749204E-4</v>
      </c>
      <c r="BT33">
        <v>5.0513554470449503E-4</v>
      </c>
      <c r="BU33">
        <v>1.6837851490149899E-4</v>
      </c>
      <c r="BV33">
        <v>0</v>
      </c>
    </row>
    <row r="34" spans="1:74">
      <c r="A34">
        <v>30</v>
      </c>
      <c r="B34">
        <v>0.58779999999999999</v>
      </c>
      <c r="C34">
        <f t="shared" si="2"/>
        <v>0.11174667310454682</v>
      </c>
      <c r="D34">
        <f t="shared" si="0"/>
        <v>-8</v>
      </c>
      <c r="E34">
        <v>0.98979244641034403</v>
      </c>
      <c r="F34">
        <v>0.97992514460700897</v>
      </c>
      <c r="G34">
        <v>0.97005784280367502</v>
      </c>
      <c r="H34">
        <v>0.96036066689350197</v>
      </c>
      <c r="I34">
        <v>0.95066349098332903</v>
      </c>
      <c r="J34">
        <v>0.941306566859477</v>
      </c>
      <c r="K34">
        <v>0.93177951684246396</v>
      </c>
      <c r="L34">
        <v>0.92242259271861204</v>
      </c>
      <c r="M34">
        <v>0.91306566859476002</v>
      </c>
      <c r="N34">
        <v>0.90370874447090899</v>
      </c>
      <c r="O34">
        <v>0.89418169445389595</v>
      </c>
      <c r="P34">
        <v>0.88465464443688302</v>
      </c>
      <c r="Q34">
        <v>0.87495746852670997</v>
      </c>
      <c r="R34">
        <v>0.86492004083021401</v>
      </c>
      <c r="S34">
        <v>0.85488261313371905</v>
      </c>
      <c r="T34">
        <v>0.84450493365090196</v>
      </c>
      <c r="U34">
        <v>0.83378700238176195</v>
      </c>
      <c r="V34">
        <v>0.82272881932630104</v>
      </c>
      <c r="W34">
        <v>0.811330384484519</v>
      </c>
      <c r="X34">
        <v>0.79959169785641404</v>
      </c>
      <c r="Y34">
        <v>0.78734263354882705</v>
      </c>
      <c r="Z34">
        <v>0.77458319156175603</v>
      </c>
      <c r="AA34">
        <v>0.76131337189520298</v>
      </c>
      <c r="AB34">
        <v>0.74753317454916701</v>
      </c>
      <c r="AC34">
        <v>0.733072473630487</v>
      </c>
      <c r="AD34">
        <v>0.71810139503232395</v>
      </c>
      <c r="AE34">
        <v>0.70244981286151698</v>
      </c>
      <c r="AF34">
        <v>0.68611772711806696</v>
      </c>
      <c r="AG34">
        <v>0.669105137801973</v>
      </c>
      <c r="AH34">
        <v>0.651241919020075</v>
      </c>
      <c r="AI34">
        <v>0.63269819666553295</v>
      </c>
      <c r="AJ34">
        <v>0.61347397073834697</v>
      </c>
      <c r="AK34">
        <v>0.59339911534535605</v>
      </c>
      <c r="AL34">
        <v>0.57247363048655997</v>
      </c>
      <c r="AM34">
        <v>0.55086764205512095</v>
      </c>
      <c r="AN34">
        <v>0.52858115005103801</v>
      </c>
      <c r="AO34">
        <v>0.50544402858115001</v>
      </c>
      <c r="AP34">
        <v>0.48162640353861902</v>
      </c>
      <c r="AQ34">
        <v>0.45712827492344299</v>
      </c>
      <c r="AR34">
        <v>0.43211976862878498</v>
      </c>
      <c r="AS34">
        <v>0.406600884654644</v>
      </c>
      <c r="AT34">
        <v>0.38057162300102099</v>
      </c>
      <c r="AU34">
        <v>0.35437223545423602</v>
      </c>
      <c r="AV34">
        <v>0.32800272201429098</v>
      </c>
      <c r="AW34">
        <v>0.30146308268118399</v>
      </c>
      <c r="AX34">
        <v>0.27526369513440002</v>
      </c>
      <c r="AY34">
        <v>0.24923443348077601</v>
      </c>
      <c r="AZ34">
        <v>0.223715549506635</v>
      </c>
      <c r="BA34">
        <v>0.19904729499829901</v>
      </c>
      <c r="BB34">
        <v>0.175229669955767</v>
      </c>
      <c r="BC34">
        <v>0.15243280027220099</v>
      </c>
      <c r="BD34">
        <v>0.13099693773392301</v>
      </c>
      <c r="BE34">
        <v>0.11109220823409301</v>
      </c>
      <c r="BF34">
        <v>9.28887376658728E-2</v>
      </c>
      <c r="BG34">
        <v>7.63865260292617E-2</v>
      </c>
      <c r="BH34">
        <v>6.1755699217420898E-2</v>
      </c>
      <c r="BI34">
        <v>4.8996257230350497E-2</v>
      </c>
      <c r="BJ34">
        <v>3.7938074174889501E-2</v>
      </c>
      <c r="BK34">
        <v>2.8751275944198702E-2</v>
      </c>
      <c r="BL34">
        <v>2.1265736645117401E-2</v>
      </c>
      <c r="BM34">
        <v>1.53113303844845E-2</v>
      </c>
      <c r="BN34">
        <v>1.07179312691392E-2</v>
      </c>
      <c r="BO34">
        <v>6.9751616195984998E-3</v>
      </c>
      <c r="BP34">
        <v>4.4232732221844099E-3</v>
      </c>
      <c r="BQ34">
        <v>2.0415107179312698E-3</v>
      </c>
      <c r="BR34">
        <v>8.5062946580469504E-4</v>
      </c>
      <c r="BS34">
        <v>5.1037767948281703E-4</v>
      </c>
      <c r="BT34">
        <v>1.7012589316093901E-4</v>
      </c>
      <c r="BU34">
        <v>0</v>
      </c>
    </row>
    <row r="35" spans="1:74">
      <c r="A35">
        <v>31</v>
      </c>
      <c r="B35">
        <v>0.58179999999999998</v>
      </c>
      <c r="C35">
        <f t="shared" ref="C35:C62" si="3">IRR(D35:CY35,0.12)</f>
        <v>0.11151633090857566</v>
      </c>
      <c r="D35">
        <f t="shared" si="0"/>
        <v>-8</v>
      </c>
      <c r="E35">
        <v>0.99003093846682699</v>
      </c>
      <c r="F35">
        <v>0.98006187693365399</v>
      </c>
      <c r="G35">
        <v>0.97026469577174301</v>
      </c>
      <c r="H35">
        <v>0.96046751460983204</v>
      </c>
      <c r="I35">
        <v>0.95101409419044403</v>
      </c>
      <c r="J35">
        <v>0.94138879339979398</v>
      </c>
      <c r="K35">
        <v>0.93193537298040596</v>
      </c>
      <c r="L35">
        <v>0.92248195256101795</v>
      </c>
      <c r="M35">
        <v>0.91302853214163004</v>
      </c>
      <c r="N35">
        <v>0.903403231350979</v>
      </c>
      <c r="O35">
        <v>0.89377793056032995</v>
      </c>
      <c r="P35">
        <v>0.88398074939841897</v>
      </c>
      <c r="Q35">
        <v>0.87383980749398404</v>
      </c>
      <c r="R35">
        <v>0.863698865589549</v>
      </c>
      <c r="S35">
        <v>0.853214162942592</v>
      </c>
      <c r="T35">
        <v>0.84238569955311104</v>
      </c>
      <c r="U35">
        <v>0.83121347542110702</v>
      </c>
      <c r="V35">
        <v>0.81969749054658003</v>
      </c>
      <c r="W35">
        <v>0.80783774492952898</v>
      </c>
      <c r="X35">
        <v>0.79546235819869404</v>
      </c>
      <c r="Y35">
        <v>0.782571330354074</v>
      </c>
      <c r="Z35">
        <v>0.76916466139566897</v>
      </c>
      <c r="AA35">
        <v>0.75524235132347906</v>
      </c>
      <c r="AB35">
        <v>0.740632519766243</v>
      </c>
      <c r="AC35">
        <v>0.72550704709522196</v>
      </c>
      <c r="AD35">
        <v>0.709694052939154</v>
      </c>
      <c r="AE35">
        <v>0.69319353729804001</v>
      </c>
      <c r="AF35">
        <v>0.67600550017187999</v>
      </c>
      <c r="AG35">
        <v>0.65795806118941202</v>
      </c>
      <c r="AH35">
        <v>0.63922310072189803</v>
      </c>
      <c r="AI35">
        <v>0.61980061876933601</v>
      </c>
      <c r="AJ35">
        <v>0.59951873496046704</v>
      </c>
      <c r="AK35">
        <v>0.57837744929529</v>
      </c>
      <c r="AL35">
        <v>0.55654864214506705</v>
      </c>
      <c r="AM35">
        <v>0.53403231350979696</v>
      </c>
      <c r="AN35">
        <v>0.51065658301821903</v>
      </c>
      <c r="AO35">
        <v>0.48659333104159502</v>
      </c>
      <c r="AP35">
        <v>0.46184255757992398</v>
      </c>
      <c r="AQ35">
        <v>0.43657614300446901</v>
      </c>
      <c r="AR35">
        <v>0.41079408731522798</v>
      </c>
      <c r="AS35">
        <v>0.38449639051220402</v>
      </c>
      <c r="AT35">
        <v>0.35802681333791703</v>
      </c>
      <c r="AU35">
        <v>0.331385355792369</v>
      </c>
      <c r="AV35">
        <v>0.30457201787555899</v>
      </c>
      <c r="AW35">
        <v>0.27810244070127199</v>
      </c>
      <c r="AX35">
        <v>0.25180474389824697</v>
      </c>
      <c r="AY35">
        <v>0.22602268820900701</v>
      </c>
      <c r="AZ35">
        <v>0.20110003437607399</v>
      </c>
      <c r="BA35">
        <v>0.17703678239945</v>
      </c>
      <c r="BB35">
        <v>0.15400481265039501</v>
      </c>
      <c r="BC35">
        <v>0.13234788587143301</v>
      </c>
      <c r="BD35">
        <v>0.112237882433826</v>
      </c>
      <c r="BE35">
        <v>9.38466827088347E-2</v>
      </c>
      <c r="BF35">
        <v>7.7174286696459302E-2</v>
      </c>
      <c r="BG35">
        <v>6.2392574767961499E-2</v>
      </c>
      <c r="BH35">
        <v>4.9501546923341397E-2</v>
      </c>
      <c r="BI35">
        <v>3.83293227913373E-2</v>
      </c>
      <c r="BJ35">
        <v>2.9047782743210699E-2</v>
      </c>
      <c r="BK35">
        <v>2.1485046407700201E-2</v>
      </c>
      <c r="BL35">
        <v>1.54692334135442E-2</v>
      </c>
      <c r="BM35">
        <v>1.0828463389480901E-2</v>
      </c>
      <c r="BN35">
        <v>7.0470952217256697E-3</v>
      </c>
      <c r="BO35">
        <v>4.4688896528016497E-3</v>
      </c>
      <c r="BP35">
        <v>2.06256445513922E-3</v>
      </c>
      <c r="BQ35">
        <v>8.5940185630800896E-4</v>
      </c>
      <c r="BR35">
        <v>5.1564111378480499E-4</v>
      </c>
      <c r="BS35">
        <v>1.7188037126160199E-4</v>
      </c>
    </row>
    <row r="36" spans="1:74">
      <c r="A36">
        <v>32</v>
      </c>
      <c r="B36">
        <v>0.57599999999999996</v>
      </c>
      <c r="C36">
        <f t="shared" si="3"/>
        <v>0.11122017145112582</v>
      </c>
      <c r="D36">
        <f t="shared" ref="D36:D67" si="4">-$D$2</f>
        <v>-8</v>
      </c>
      <c r="E36">
        <v>0.98993055555555598</v>
      </c>
      <c r="F36">
        <v>0.98003472222222299</v>
      </c>
      <c r="G36">
        <v>0.97013888888888999</v>
      </c>
      <c r="H36">
        <v>0.96059027777777894</v>
      </c>
      <c r="I36">
        <v>0.95086805555555598</v>
      </c>
      <c r="J36">
        <v>0.94131944444444504</v>
      </c>
      <c r="K36">
        <v>0.93177083333333299</v>
      </c>
      <c r="L36">
        <v>0.92222222222222205</v>
      </c>
      <c r="M36">
        <v>0.91249999999999998</v>
      </c>
      <c r="N36">
        <v>0.90277777777777801</v>
      </c>
      <c r="O36">
        <v>0.89288194444444502</v>
      </c>
      <c r="P36">
        <v>0.88263888888888897</v>
      </c>
      <c r="Q36">
        <v>0.87239583333333304</v>
      </c>
      <c r="R36">
        <v>0.86180555555555605</v>
      </c>
      <c r="S36">
        <v>0.850868055555555</v>
      </c>
      <c r="T36">
        <v>0.83958333333333302</v>
      </c>
      <c r="U36">
        <v>0.82795138888888897</v>
      </c>
      <c r="V36">
        <v>0.81597222222222199</v>
      </c>
      <c r="W36">
        <v>0.80347222222222203</v>
      </c>
      <c r="X36">
        <v>0.79045138888888899</v>
      </c>
      <c r="Y36">
        <v>0.77690972222222299</v>
      </c>
      <c r="Z36">
        <v>0.76284722222222201</v>
      </c>
      <c r="AA36">
        <v>0.74809027777777803</v>
      </c>
      <c r="AB36">
        <v>0.73281249999999998</v>
      </c>
      <c r="AC36">
        <v>0.71684027777777704</v>
      </c>
      <c r="AD36">
        <v>0.70017361111111098</v>
      </c>
      <c r="AE36">
        <v>0.68281250000000004</v>
      </c>
      <c r="AF36">
        <v>0.66458333333333297</v>
      </c>
      <c r="AG36">
        <v>0.64565972222222201</v>
      </c>
      <c r="AH36">
        <v>0.62604166666666705</v>
      </c>
      <c r="AI36">
        <v>0.60555555555555496</v>
      </c>
      <c r="AJ36">
        <v>0.58420138888888895</v>
      </c>
      <c r="AK36">
        <v>0.56215277777777795</v>
      </c>
      <c r="AL36">
        <v>0.53940972222222205</v>
      </c>
      <c r="AM36">
        <v>0.51579861111111103</v>
      </c>
      <c r="AN36">
        <v>0.491493055555556</v>
      </c>
      <c r="AO36">
        <v>0.46649305555555498</v>
      </c>
      <c r="AP36">
        <v>0.44097222222222199</v>
      </c>
      <c r="AQ36">
        <v>0.41493055555555503</v>
      </c>
      <c r="AR36">
        <v>0.38836805555555598</v>
      </c>
      <c r="AS36">
        <v>0.36163194444444402</v>
      </c>
      <c r="AT36">
        <v>0.33472222222222198</v>
      </c>
      <c r="AU36">
        <v>0.30763888888888902</v>
      </c>
      <c r="AV36">
        <v>0.280902777777778</v>
      </c>
      <c r="AW36">
        <v>0.25434027777777801</v>
      </c>
      <c r="AX36">
        <v>0.22829861111111099</v>
      </c>
      <c r="AY36">
        <v>0.203125</v>
      </c>
      <c r="AZ36">
        <v>0.178819444444444</v>
      </c>
      <c r="BA36">
        <v>0.155555555555556</v>
      </c>
      <c r="BB36">
        <v>0.133680555555556</v>
      </c>
      <c r="BC36">
        <v>0.113368055555556</v>
      </c>
      <c r="BD36">
        <v>9.4791666666666594E-2</v>
      </c>
      <c r="BE36">
        <v>7.7951388888888903E-2</v>
      </c>
      <c r="BF36">
        <v>6.3020833333333304E-2</v>
      </c>
      <c r="BG36">
        <v>0.05</v>
      </c>
      <c r="BH36">
        <v>3.87152777777778E-2</v>
      </c>
      <c r="BI36">
        <v>2.9340277777777798E-2</v>
      </c>
      <c r="BJ36">
        <v>2.1701388888888899E-2</v>
      </c>
      <c r="BK36">
        <v>1.5625E-2</v>
      </c>
      <c r="BL36">
        <v>1.0937499999999999E-2</v>
      </c>
      <c r="BM36">
        <v>7.1180555555555502E-3</v>
      </c>
      <c r="BN36">
        <v>4.5138888888888798E-3</v>
      </c>
      <c r="BO36">
        <v>2.0833333333333298E-3</v>
      </c>
      <c r="BP36">
        <v>8.6805555555555497E-4</v>
      </c>
      <c r="BQ36">
        <v>5.20833333333333E-4</v>
      </c>
      <c r="BR36">
        <v>1.7361111111111101E-4</v>
      </c>
      <c r="BS36">
        <v>0</v>
      </c>
    </row>
    <row r="37" spans="1:74">
      <c r="A37">
        <v>33</v>
      </c>
      <c r="B37">
        <v>0.57020000000000004</v>
      </c>
      <c r="C37">
        <f t="shared" si="3"/>
        <v>0.11089900555290129</v>
      </c>
      <c r="D37">
        <f t="shared" si="4"/>
        <v>-8</v>
      </c>
      <c r="E37">
        <v>0.99000350754121402</v>
      </c>
      <c r="F37">
        <v>0.98000701508242705</v>
      </c>
      <c r="G37">
        <v>0.97036127674500205</v>
      </c>
      <c r="H37">
        <v>0.96054016134689602</v>
      </c>
      <c r="I37">
        <v>0.95089442300947002</v>
      </c>
      <c r="J37">
        <v>0.94124868467204403</v>
      </c>
      <c r="K37">
        <v>0.93160294633461904</v>
      </c>
      <c r="L37">
        <v>0.921781830936512</v>
      </c>
      <c r="M37">
        <v>0.91196071553840696</v>
      </c>
      <c r="N37">
        <v>0.90196422307962099</v>
      </c>
      <c r="O37">
        <v>0.89161697649947302</v>
      </c>
      <c r="P37">
        <v>0.88126972991932495</v>
      </c>
      <c r="Q37">
        <v>0.870571729217818</v>
      </c>
      <c r="R37">
        <v>0.85952297439494796</v>
      </c>
      <c r="S37">
        <v>0.84812346545071804</v>
      </c>
      <c r="T37">
        <v>0.83637320238512702</v>
      </c>
      <c r="U37">
        <v>0.82427218519817502</v>
      </c>
      <c r="V37">
        <v>0.81164503682918199</v>
      </c>
      <c r="W37">
        <v>0.79849175727814803</v>
      </c>
      <c r="X37">
        <v>0.78481234654507204</v>
      </c>
      <c r="Y37">
        <v>0.77060680462995401</v>
      </c>
      <c r="Z37">
        <v>0.75569975447211502</v>
      </c>
      <c r="AA37">
        <v>0.74026657313223398</v>
      </c>
      <c r="AB37">
        <v>0.72413188354963098</v>
      </c>
      <c r="AC37">
        <v>0.70729568572430601</v>
      </c>
      <c r="AD37">
        <v>0.68975797965625996</v>
      </c>
      <c r="AE37">
        <v>0.67134338828481099</v>
      </c>
      <c r="AF37">
        <v>0.65222728867064095</v>
      </c>
      <c r="AG37">
        <v>0.63240968081374904</v>
      </c>
      <c r="AH37">
        <v>0.61171518765345401</v>
      </c>
      <c r="AI37">
        <v>0.59014380918975695</v>
      </c>
      <c r="AJ37">
        <v>0.56787092248333904</v>
      </c>
      <c r="AK37">
        <v>0.54489652753419804</v>
      </c>
      <c r="AL37">
        <v>0.52104524728165502</v>
      </c>
      <c r="AM37">
        <v>0.49649245878638998</v>
      </c>
      <c r="AN37">
        <v>0.47123816204840402</v>
      </c>
      <c r="AO37">
        <v>0.44545773412837503</v>
      </c>
      <c r="AP37">
        <v>0.419151175026306</v>
      </c>
      <c r="AQ37">
        <v>0.392318484742195</v>
      </c>
      <c r="AR37">
        <v>0.365310417397404</v>
      </c>
      <c r="AS37">
        <v>0.33812697299193201</v>
      </c>
      <c r="AT37">
        <v>0.31076815152578002</v>
      </c>
      <c r="AU37">
        <v>0.28376008418098903</v>
      </c>
      <c r="AV37">
        <v>0.25692739389687802</v>
      </c>
      <c r="AW37">
        <v>0.23062083479480899</v>
      </c>
      <c r="AX37">
        <v>0.20519116099614099</v>
      </c>
      <c r="AY37">
        <v>0.180638372500877</v>
      </c>
      <c r="AZ37">
        <v>0.15713784636969499</v>
      </c>
      <c r="BA37">
        <v>0.13504033672395599</v>
      </c>
      <c r="BB37">
        <v>0.114521220624342</v>
      </c>
      <c r="BC37">
        <v>9.5755875131532706E-2</v>
      </c>
      <c r="BD37">
        <v>7.8744300245527796E-2</v>
      </c>
      <c r="BE37">
        <v>6.3661873027008001E-2</v>
      </c>
      <c r="BF37">
        <v>5.05085934759733E-2</v>
      </c>
      <c r="BG37">
        <v>3.91090845317432E-2</v>
      </c>
      <c r="BH37">
        <v>2.9638723254998198E-2</v>
      </c>
      <c r="BI37">
        <v>2.1922132585057898E-2</v>
      </c>
      <c r="BJ37">
        <v>1.57839354612417E-2</v>
      </c>
      <c r="BK37">
        <v>1.1048754822869201E-2</v>
      </c>
      <c r="BL37">
        <v>7.1904594878989701E-3</v>
      </c>
      <c r="BM37">
        <v>4.5598035776920299E-3</v>
      </c>
      <c r="BN37">
        <v>2.10452472816555E-3</v>
      </c>
      <c r="BO37">
        <v>8.7688530340231401E-4</v>
      </c>
      <c r="BP37">
        <v>5.2613118204138803E-4</v>
      </c>
      <c r="BQ37">
        <v>1.7537706068046301E-4</v>
      </c>
    </row>
    <row r="38" spans="1:74">
      <c r="A38">
        <v>34</v>
      </c>
      <c r="B38">
        <v>0.5645</v>
      </c>
      <c r="C38">
        <f t="shared" si="3"/>
        <v>0.11052371613164974</v>
      </c>
      <c r="D38">
        <f t="shared" si="4"/>
        <v>-8</v>
      </c>
      <c r="E38">
        <v>0.98990256864481796</v>
      </c>
      <c r="F38">
        <v>0.98015943312666098</v>
      </c>
      <c r="G38">
        <v>0.97023914968999103</v>
      </c>
      <c r="H38">
        <v>0.96049601417183295</v>
      </c>
      <c r="I38">
        <v>0.95075287865367497</v>
      </c>
      <c r="J38">
        <v>0.941009743135517</v>
      </c>
      <c r="K38">
        <v>0.93108945969884704</v>
      </c>
      <c r="L38">
        <v>0.92116917626217798</v>
      </c>
      <c r="M38">
        <v>0.91107174490699605</v>
      </c>
      <c r="N38">
        <v>0.90062001771479105</v>
      </c>
      <c r="O38">
        <v>0.89016829052258495</v>
      </c>
      <c r="P38">
        <v>0.879362267493356</v>
      </c>
      <c r="Q38">
        <v>0.86820194862710198</v>
      </c>
      <c r="R38">
        <v>0.85668733392382501</v>
      </c>
      <c r="S38">
        <v>0.84481842338352398</v>
      </c>
      <c r="T38">
        <v>0.83259521700619898</v>
      </c>
      <c r="U38">
        <v>0.81984056687333895</v>
      </c>
      <c r="V38">
        <v>0.80655447298494198</v>
      </c>
      <c r="W38">
        <v>0.79273693534100997</v>
      </c>
      <c r="X38">
        <v>0.77838795394154103</v>
      </c>
      <c r="Y38">
        <v>0.76333038086802396</v>
      </c>
      <c r="Z38">
        <v>0.74774136403897196</v>
      </c>
      <c r="AA38">
        <v>0.73144375553587104</v>
      </c>
      <c r="AB38">
        <v>0.714437555358723</v>
      </c>
      <c r="AC38">
        <v>0.69672276350752704</v>
      </c>
      <c r="AD38">
        <v>0.67812223206377198</v>
      </c>
      <c r="AE38">
        <v>0.65881310894596901</v>
      </c>
      <c r="AF38">
        <v>0.63879539415411801</v>
      </c>
      <c r="AG38">
        <v>0.61789193976970702</v>
      </c>
      <c r="AH38">
        <v>0.59610274579273603</v>
      </c>
      <c r="AI38">
        <v>0.57360496014171802</v>
      </c>
      <c r="AJ38">
        <v>0.55039858281665099</v>
      </c>
      <c r="AK38">
        <v>0.52630646589902497</v>
      </c>
      <c r="AL38">
        <v>0.50150575730735103</v>
      </c>
      <c r="AM38">
        <v>0.47599645704162902</v>
      </c>
      <c r="AN38">
        <v>0.44995571302037102</v>
      </c>
      <c r="AO38">
        <v>0.42338352524357797</v>
      </c>
      <c r="AP38">
        <v>0.396279893711248</v>
      </c>
      <c r="AQ38">
        <v>0.36899911426040699</v>
      </c>
      <c r="AR38">
        <v>0.341541186891054</v>
      </c>
      <c r="AS38">
        <v>0.31390611160318799</v>
      </c>
      <c r="AT38">
        <v>0.28662533215234698</v>
      </c>
      <c r="AU38">
        <v>0.259521700620017</v>
      </c>
      <c r="AV38">
        <v>0.23294951284322399</v>
      </c>
      <c r="AW38">
        <v>0.20726306465899</v>
      </c>
      <c r="AX38">
        <v>0.18246235606731601</v>
      </c>
      <c r="AY38">
        <v>0.15872453498671399</v>
      </c>
      <c r="AZ38">
        <v>0.13640389725420701</v>
      </c>
      <c r="BA38">
        <v>0.115677590788308</v>
      </c>
      <c r="BB38">
        <v>9.6722763507528703E-2</v>
      </c>
      <c r="BC38">
        <v>7.9539415411868805E-2</v>
      </c>
      <c r="BD38">
        <v>6.4304694419840505E-2</v>
      </c>
      <c r="BE38">
        <v>5.1018600531443699E-2</v>
      </c>
      <c r="BF38">
        <v>3.9503985828166499E-2</v>
      </c>
      <c r="BG38">
        <v>2.99379982285208E-2</v>
      </c>
      <c r="BH38">
        <v>2.21434898139947E-2</v>
      </c>
      <c r="BI38">
        <v>1.5943312666076199E-2</v>
      </c>
      <c r="BJ38">
        <v>1.1160318866253301E-2</v>
      </c>
      <c r="BK38">
        <v>7.2630646589902396E-3</v>
      </c>
      <c r="BL38">
        <v>4.6058458813108896E-3</v>
      </c>
      <c r="BM38">
        <v>2.1257750221434901E-3</v>
      </c>
      <c r="BN38">
        <v>8.8573959255978604E-4</v>
      </c>
      <c r="BO38">
        <v>5.3144375553587197E-4</v>
      </c>
      <c r="BP38">
        <v>1.7714791851195701E-4</v>
      </c>
      <c r="BQ38">
        <v>0</v>
      </c>
    </row>
    <row r="39" spans="1:74">
      <c r="A39">
        <v>35</v>
      </c>
      <c r="B39">
        <v>0.55879999999999996</v>
      </c>
      <c r="C39">
        <f t="shared" si="3"/>
        <v>0.11011249171362703</v>
      </c>
      <c r="D39">
        <f t="shared" si="4"/>
        <v>-8</v>
      </c>
      <c r="E39">
        <v>0.99015748031496098</v>
      </c>
      <c r="F39">
        <v>0.98013600572655701</v>
      </c>
      <c r="G39">
        <v>0.97029348604151699</v>
      </c>
      <c r="H39">
        <v>0.96045096635647798</v>
      </c>
      <c r="I39">
        <v>0.95060844667143796</v>
      </c>
      <c r="J39">
        <v>0.94058697208303399</v>
      </c>
      <c r="K39">
        <v>0.93056549749463002</v>
      </c>
      <c r="L39">
        <v>0.920365068002863</v>
      </c>
      <c r="M39">
        <v>0.90980672870436496</v>
      </c>
      <c r="N39">
        <v>0.89924838940586804</v>
      </c>
      <c r="O39">
        <v>0.888332140300643</v>
      </c>
      <c r="P39">
        <v>0.87705798138868896</v>
      </c>
      <c r="Q39">
        <v>0.86542591267000601</v>
      </c>
      <c r="R39">
        <v>0.85343593414459495</v>
      </c>
      <c r="S39">
        <v>0.841088045812454</v>
      </c>
      <c r="T39">
        <v>0.82820329277022098</v>
      </c>
      <c r="U39">
        <v>0.814781675017895</v>
      </c>
      <c r="V39">
        <v>0.80082319255547596</v>
      </c>
      <c r="W39">
        <v>0.78632784538296296</v>
      </c>
      <c r="X39">
        <v>0.77111667859699295</v>
      </c>
      <c r="Y39">
        <v>0.75536864710092999</v>
      </c>
      <c r="Z39">
        <v>0.73890479599140901</v>
      </c>
      <c r="AA39">
        <v>0.72172512526843102</v>
      </c>
      <c r="AB39">
        <v>0.70382963493199602</v>
      </c>
      <c r="AC39">
        <v>0.68503937007873905</v>
      </c>
      <c r="AD39">
        <v>0.66553328561202496</v>
      </c>
      <c r="AE39">
        <v>0.64531138153185297</v>
      </c>
      <c r="AF39">
        <v>0.62419470293486001</v>
      </c>
      <c r="AG39">
        <v>0.60218324982104399</v>
      </c>
      <c r="AH39">
        <v>0.57945597709377195</v>
      </c>
      <c r="AI39">
        <v>0.556012884753042</v>
      </c>
      <c r="AJ39">
        <v>0.53167501789548999</v>
      </c>
      <c r="AK39">
        <v>0.50662133142448096</v>
      </c>
      <c r="AL39">
        <v>0.48085182534001403</v>
      </c>
      <c r="AM39">
        <v>0.45454545454545398</v>
      </c>
      <c r="AN39">
        <v>0.42770221904080102</v>
      </c>
      <c r="AO39">
        <v>0.40032211882605501</v>
      </c>
      <c r="AP39">
        <v>0.37276306370794499</v>
      </c>
      <c r="AQ39">
        <v>0.34502505368647102</v>
      </c>
      <c r="AR39">
        <v>0.31710808876163199</v>
      </c>
      <c r="AS39">
        <v>0.28954903364352202</v>
      </c>
      <c r="AT39">
        <v>0.26216893342877601</v>
      </c>
      <c r="AU39">
        <v>0.235325697924123</v>
      </c>
      <c r="AV39">
        <v>0.20937723693629201</v>
      </c>
      <c r="AW39">
        <v>0.18432355046528301</v>
      </c>
      <c r="AX39">
        <v>0.160343593414459</v>
      </c>
      <c r="AY39">
        <v>0.13779527559055099</v>
      </c>
      <c r="AZ39">
        <v>0.116857551896922</v>
      </c>
      <c r="BA39">
        <v>9.7709377236936207E-2</v>
      </c>
      <c r="BB39">
        <v>8.0350751610594101E-2</v>
      </c>
      <c r="BC39">
        <v>6.4960629921259797E-2</v>
      </c>
      <c r="BD39">
        <v>5.1539012168933397E-2</v>
      </c>
      <c r="BE39">
        <v>3.9906943450250497E-2</v>
      </c>
      <c r="BF39">
        <v>3.0243378668575498E-2</v>
      </c>
      <c r="BG39">
        <v>2.2369362920543999E-2</v>
      </c>
      <c r="BH39">
        <v>1.61059413027917E-2</v>
      </c>
      <c r="BI39">
        <v>1.1274158911954201E-2</v>
      </c>
      <c r="BJ39">
        <v>7.3371510379384303E-3</v>
      </c>
      <c r="BK39">
        <v>4.6528274874731504E-3</v>
      </c>
      <c r="BL39">
        <v>2.1474588403722198E-3</v>
      </c>
      <c r="BM39">
        <v>8.9477451682175996E-4</v>
      </c>
      <c r="BN39">
        <v>5.3686471009305604E-4</v>
      </c>
      <c r="BO39">
        <v>1.7895490336435201E-4</v>
      </c>
      <c r="BP39">
        <v>0</v>
      </c>
    </row>
    <row r="40" spans="1:74">
      <c r="A40">
        <v>36</v>
      </c>
      <c r="B40">
        <v>0.55330000000000001</v>
      </c>
      <c r="C40">
        <f t="shared" si="3"/>
        <v>0.10960735726454748</v>
      </c>
      <c r="D40">
        <f t="shared" si="4"/>
        <v>-8</v>
      </c>
      <c r="E40">
        <v>0.98987890836797399</v>
      </c>
      <c r="F40">
        <v>0.97993855051509104</v>
      </c>
      <c r="G40">
        <v>0.96999819266220799</v>
      </c>
      <c r="H40">
        <v>0.96005783480932505</v>
      </c>
      <c r="I40">
        <v>0.94993674317729904</v>
      </c>
      <c r="J40">
        <v>0.93981565154527302</v>
      </c>
      <c r="K40">
        <v>0.92951382613410405</v>
      </c>
      <c r="L40">
        <v>0.91885053316464704</v>
      </c>
      <c r="M40">
        <v>0.90818724019519104</v>
      </c>
      <c r="N40">
        <v>0.897162479667449</v>
      </c>
      <c r="O40">
        <v>0.88577625158141904</v>
      </c>
      <c r="P40">
        <v>0.87402855593710405</v>
      </c>
      <c r="Q40">
        <v>0.86191939273450102</v>
      </c>
      <c r="R40">
        <v>0.84944876197361197</v>
      </c>
      <c r="S40">
        <v>0.83643592987529303</v>
      </c>
      <c r="T40">
        <v>0.82288089643954399</v>
      </c>
      <c r="U40">
        <v>0.80878366166636495</v>
      </c>
      <c r="V40">
        <v>0.79414422555575603</v>
      </c>
      <c r="W40">
        <v>0.77878185432857405</v>
      </c>
      <c r="X40">
        <v>0.76287728176396097</v>
      </c>
      <c r="Y40">
        <v>0.74624977408277504</v>
      </c>
      <c r="Z40">
        <v>0.72889933128501605</v>
      </c>
      <c r="AA40">
        <v>0.71082595337068399</v>
      </c>
      <c r="AB40">
        <v>0.69184890656063502</v>
      </c>
      <c r="AC40">
        <v>0.67214892463401299</v>
      </c>
      <c r="AD40">
        <v>0.651726007590818</v>
      </c>
      <c r="AE40">
        <v>0.63039942165190599</v>
      </c>
      <c r="AF40">
        <v>0.60816916681727695</v>
      </c>
      <c r="AG40">
        <v>0.58521597686607596</v>
      </c>
      <c r="AH40">
        <v>0.56153985179830102</v>
      </c>
      <c r="AI40">
        <v>0.53696005783480905</v>
      </c>
      <c r="AJ40">
        <v>0.51165732875474401</v>
      </c>
      <c r="AK40">
        <v>0.48563166455810503</v>
      </c>
      <c r="AL40">
        <v>0.45906379902403699</v>
      </c>
      <c r="AM40">
        <v>0.43195373215253902</v>
      </c>
      <c r="AN40">
        <v>0.40430146394361099</v>
      </c>
      <c r="AO40">
        <v>0.37646846195553901</v>
      </c>
      <c r="AP40">
        <v>0.34845472618832402</v>
      </c>
      <c r="AQ40">
        <v>0.320260256641966</v>
      </c>
      <c r="AR40">
        <v>0.29242725465389502</v>
      </c>
      <c r="AS40">
        <v>0.264774986444966</v>
      </c>
      <c r="AT40">
        <v>0.237664919573468</v>
      </c>
      <c r="AU40">
        <v>0.21145852159768599</v>
      </c>
      <c r="AV40">
        <v>0.18615579251762099</v>
      </c>
      <c r="AW40">
        <v>0.161937466112416</v>
      </c>
      <c r="AX40">
        <v>0.13916500994035799</v>
      </c>
      <c r="AY40">
        <v>0.118019157780589</v>
      </c>
      <c r="AZ40">
        <v>9.8680643412253702E-2</v>
      </c>
      <c r="BA40">
        <v>8.11494668353515E-2</v>
      </c>
      <c r="BB40">
        <v>6.5606361829025794E-2</v>
      </c>
      <c r="BC40">
        <v>5.2051328393276697E-2</v>
      </c>
      <c r="BD40">
        <v>4.0303632748960802E-2</v>
      </c>
      <c r="BE40">
        <v>3.0544008675221401E-2</v>
      </c>
      <c r="BF40">
        <v>2.2591722392915198E-2</v>
      </c>
      <c r="BG40">
        <v>1.6266040122898999E-2</v>
      </c>
      <c r="BH40">
        <v>1.13862280860293E-2</v>
      </c>
      <c r="BI40">
        <v>7.4100849448761903E-3</v>
      </c>
      <c r="BJ40">
        <v>4.69907825772636E-3</v>
      </c>
      <c r="BK40">
        <v>2.1688053497198601E-3</v>
      </c>
      <c r="BL40">
        <v>9.0366889571660803E-4</v>
      </c>
      <c r="BM40">
        <v>5.4220133742996501E-4</v>
      </c>
      <c r="BN40">
        <v>1.80733779143322E-4</v>
      </c>
    </row>
    <row r="41" spans="1:74">
      <c r="A41">
        <v>37</v>
      </c>
      <c r="B41">
        <v>0.54769999999999996</v>
      </c>
      <c r="C41">
        <f t="shared" si="3"/>
        <v>0.10907472232973034</v>
      </c>
      <c r="D41">
        <f t="shared" si="4"/>
        <v>-8</v>
      </c>
      <c r="E41">
        <v>0.98995800620777796</v>
      </c>
      <c r="F41">
        <v>0.97991601241555604</v>
      </c>
      <c r="G41">
        <v>0.969874018623333</v>
      </c>
      <c r="H41">
        <v>0.95964944312579803</v>
      </c>
      <c r="I41">
        <v>0.94942486762826295</v>
      </c>
      <c r="J41">
        <v>0.93901771042541504</v>
      </c>
      <c r="K41">
        <v>0.92824538981194005</v>
      </c>
      <c r="L41">
        <v>0.91747306919846505</v>
      </c>
      <c r="M41">
        <v>0.90633558517436497</v>
      </c>
      <c r="N41">
        <v>0.89483293773963801</v>
      </c>
      <c r="O41">
        <v>0.88296512689428397</v>
      </c>
      <c r="P41">
        <v>0.87073215263830495</v>
      </c>
      <c r="Q41">
        <v>0.85813401497169906</v>
      </c>
      <c r="R41">
        <v>0.84498813218915403</v>
      </c>
      <c r="S41">
        <v>0.83129450429066998</v>
      </c>
      <c r="T41">
        <v>0.81705313127624601</v>
      </c>
      <c r="U41">
        <v>0.80226401314588303</v>
      </c>
      <c r="V41">
        <v>0.78674456819426697</v>
      </c>
      <c r="W41">
        <v>0.770677378126711</v>
      </c>
      <c r="X41">
        <v>0.75387986123790296</v>
      </c>
      <c r="Y41">
        <v>0.73635201752784296</v>
      </c>
      <c r="Z41">
        <v>0.71809384699653001</v>
      </c>
      <c r="AA41">
        <v>0.69892276793865205</v>
      </c>
      <c r="AB41">
        <v>0.67902136205952102</v>
      </c>
      <c r="AC41">
        <v>0.65838962935913803</v>
      </c>
      <c r="AD41">
        <v>0.63684498813218904</v>
      </c>
      <c r="AE41">
        <v>0.61438743837867404</v>
      </c>
      <c r="AF41">
        <v>0.59119956180390698</v>
      </c>
      <c r="AG41">
        <v>0.56728135840788696</v>
      </c>
      <c r="AH41">
        <v>0.54245024648530205</v>
      </c>
      <c r="AI41">
        <v>0.51688880774146395</v>
      </c>
      <c r="AJ41">
        <v>0.49059704217637401</v>
      </c>
      <c r="AK41">
        <v>0.46375753149534399</v>
      </c>
      <c r="AL41">
        <v>0.436370275698375</v>
      </c>
      <c r="AM41">
        <v>0.40843527478546598</v>
      </c>
      <c r="AN41">
        <v>0.38031769216724498</v>
      </c>
      <c r="AO41">
        <v>0.35201752784370999</v>
      </c>
      <c r="AP41">
        <v>0.323534781814862</v>
      </c>
      <c r="AQ41">
        <v>0.295417199196641</v>
      </c>
      <c r="AR41">
        <v>0.26748219828373199</v>
      </c>
      <c r="AS41">
        <v>0.240094942486763</v>
      </c>
      <c r="AT41">
        <v>0.21362059521635901</v>
      </c>
      <c r="AU41">
        <v>0.188059156472521</v>
      </c>
      <c r="AV41">
        <v>0.16359320796056201</v>
      </c>
      <c r="AW41">
        <v>0.14058791309110799</v>
      </c>
      <c r="AX41">
        <v>0.119225853569472</v>
      </c>
      <c r="AY41">
        <v>9.9689611100967704E-2</v>
      </c>
      <c r="AZ41">
        <v>8.19791856855943E-2</v>
      </c>
      <c r="BA41">
        <v>6.6277159028665406E-2</v>
      </c>
      <c r="BB41">
        <v>5.2583531130180799E-2</v>
      </c>
      <c r="BC41">
        <v>4.0715720284827499E-2</v>
      </c>
      <c r="BD41">
        <v>3.0856308197918601E-2</v>
      </c>
      <c r="BE41">
        <v>2.2822713164141001E-2</v>
      </c>
      <c r="BF41">
        <v>1.6432353478181502E-2</v>
      </c>
      <c r="BG41">
        <v>1.1502647434727E-2</v>
      </c>
      <c r="BH41">
        <v>7.48584991783823E-3</v>
      </c>
      <c r="BI41">
        <v>4.7471243381413198E-3</v>
      </c>
      <c r="BJ41">
        <v>2.1909804637575301E-3</v>
      </c>
      <c r="BK41">
        <v>9.1290852656563802E-4</v>
      </c>
      <c r="BL41">
        <v>5.4774511593938297E-4</v>
      </c>
      <c r="BM41">
        <v>1.8258170531312799E-4</v>
      </c>
      <c r="BN41">
        <v>0</v>
      </c>
    </row>
    <row r="42" spans="1:74">
      <c r="A42">
        <v>38</v>
      </c>
      <c r="B42">
        <v>0.54220000000000002</v>
      </c>
      <c r="C42">
        <f t="shared" si="3"/>
        <v>0.10845700828744259</v>
      </c>
      <c r="D42">
        <f t="shared" si="4"/>
        <v>-8</v>
      </c>
      <c r="E42">
        <v>0.98985614164514901</v>
      </c>
      <c r="F42">
        <v>0.97971228329029802</v>
      </c>
      <c r="G42">
        <v>0.96938399114717699</v>
      </c>
      <c r="H42">
        <v>0.95905569900405696</v>
      </c>
      <c r="I42">
        <v>0.948542973072667</v>
      </c>
      <c r="J42">
        <v>0.93766137956473605</v>
      </c>
      <c r="K42">
        <v>0.926779786056805</v>
      </c>
      <c r="L42">
        <v>0.91552932497233497</v>
      </c>
      <c r="M42">
        <v>0.90390999631132396</v>
      </c>
      <c r="N42">
        <v>0.89192180007377297</v>
      </c>
      <c r="O42">
        <v>0.87956473625968201</v>
      </c>
      <c r="P42">
        <v>0.86683880486905196</v>
      </c>
      <c r="Q42">
        <v>0.853559572113611</v>
      </c>
      <c r="R42">
        <v>0.83972703799336101</v>
      </c>
      <c r="S42">
        <v>0.82534120250830001</v>
      </c>
      <c r="T42">
        <v>0.81040206565842898</v>
      </c>
      <c r="U42">
        <v>0.794725193655477</v>
      </c>
      <c r="V42">
        <v>0.778495020287716</v>
      </c>
      <c r="W42">
        <v>0.76152711176687504</v>
      </c>
      <c r="X42">
        <v>0.74382146809295402</v>
      </c>
      <c r="Y42">
        <v>0.72537808926595304</v>
      </c>
      <c r="Z42">
        <v>0.70601254149760195</v>
      </c>
      <c r="AA42">
        <v>0.68590925857617102</v>
      </c>
      <c r="AB42">
        <v>0.66506824050165902</v>
      </c>
      <c r="AC42">
        <v>0.64330505348579803</v>
      </c>
      <c r="AD42">
        <v>0.62061969752858703</v>
      </c>
      <c r="AE42">
        <v>0.59719660641829597</v>
      </c>
      <c r="AF42">
        <v>0.57303578015492396</v>
      </c>
      <c r="AG42">
        <v>0.54795278495020305</v>
      </c>
      <c r="AH42">
        <v>0.52213205459240097</v>
      </c>
      <c r="AI42">
        <v>0.49557358908151999</v>
      </c>
      <c r="AJ42">
        <v>0.46846182220582799</v>
      </c>
      <c r="AK42">
        <v>0.44079675396532603</v>
      </c>
      <c r="AL42">
        <v>0.41257838436001498</v>
      </c>
      <c r="AM42">
        <v>0.38417558096643301</v>
      </c>
      <c r="AN42">
        <v>0.35558834378458098</v>
      </c>
      <c r="AO42">
        <v>0.32681667281445997</v>
      </c>
      <c r="AP42">
        <v>0.298413869420878</v>
      </c>
      <c r="AQ42">
        <v>0.27019549981556601</v>
      </c>
      <c r="AR42">
        <v>0.24253043157506499</v>
      </c>
      <c r="AS42">
        <v>0.21578753227591299</v>
      </c>
      <c r="AT42">
        <v>0.18996680191811099</v>
      </c>
      <c r="AU42">
        <v>0.16525267428993001</v>
      </c>
      <c r="AV42">
        <v>0.142014016967909</v>
      </c>
      <c r="AW42">
        <v>0.120435263740317</v>
      </c>
      <c r="AX42">
        <v>0.10070084839542599</v>
      </c>
      <c r="AY42">
        <v>8.2810770933234995E-2</v>
      </c>
      <c r="AZ42">
        <v>6.6949465142014095E-2</v>
      </c>
      <c r="BA42">
        <v>5.3116931021763202E-2</v>
      </c>
      <c r="BB42">
        <v>4.1128734784212501E-2</v>
      </c>
      <c r="BC42">
        <v>3.1169310217631901E-2</v>
      </c>
      <c r="BD42">
        <v>2.3054223533751399E-2</v>
      </c>
      <c r="BE42">
        <v>1.6599040944301001E-2</v>
      </c>
      <c r="BF42">
        <v>1.1619328661010699E-2</v>
      </c>
      <c r="BG42">
        <v>7.5617853190704503E-3</v>
      </c>
      <c r="BH42">
        <v>4.7952784950202904E-3</v>
      </c>
      <c r="BI42">
        <v>2.2132054592401301E-3</v>
      </c>
      <c r="BJ42">
        <v>9.2216894135005597E-4</v>
      </c>
      <c r="BK42">
        <v>5.5330136481003295E-4</v>
      </c>
      <c r="BL42">
        <v>1.8443378827001099E-4</v>
      </c>
    </row>
    <row r="43" spans="1:74">
      <c r="A43">
        <v>39</v>
      </c>
      <c r="B43">
        <v>0.53669999999999995</v>
      </c>
      <c r="C43">
        <f t="shared" si="3"/>
        <v>0.10776933449132117</v>
      </c>
      <c r="D43">
        <f t="shared" si="4"/>
        <v>-8</v>
      </c>
      <c r="E43">
        <v>0.98975218930501196</v>
      </c>
      <c r="F43">
        <v>0.97931805477920597</v>
      </c>
      <c r="G43">
        <v>0.96888392025339998</v>
      </c>
      <c r="H43">
        <v>0.95826346189677702</v>
      </c>
      <c r="I43">
        <v>0.94727035587851605</v>
      </c>
      <c r="J43">
        <v>0.93627724986025695</v>
      </c>
      <c r="K43">
        <v>0.92491149618036195</v>
      </c>
      <c r="L43">
        <v>0.91317309483883002</v>
      </c>
      <c r="M43">
        <v>0.90106204583566196</v>
      </c>
      <c r="N43">
        <v>0.88857834917085898</v>
      </c>
      <c r="O43">
        <v>0.87572200484441998</v>
      </c>
      <c r="P43">
        <v>0.86230668902552698</v>
      </c>
      <c r="Q43">
        <v>0.84833240171418001</v>
      </c>
      <c r="R43">
        <v>0.83379914291037904</v>
      </c>
      <c r="S43">
        <v>0.81870691261412398</v>
      </c>
      <c r="T43">
        <v>0.80286938699459698</v>
      </c>
      <c r="U43">
        <v>0.78647288988261599</v>
      </c>
      <c r="V43">
        <v>0.76933109744736305</v>
      </c>
      <c r="W43">
        <v>0.75144400968883895</v>
      </c>
      <c r="X43">
        <v>0.73281162660704202</v>
      </c>
      <c r="Y43">
        <v>0.71324762437115696</v>
      </c>
      <c r="Z43">
        <v>0.69293832681199896</v>
      </c>
      <c r="AA43">
        <v>0.67188373392956902</v>
      </c>
      <c r="AB43">
        <v>0.64989752189304995</v>
      </c>
      <c r="AC43">
        <v>0.62697969070244097</v>
      </c>
      <c r="AD43">
        <v>0.60331656418855995</v>
      </c>
      <c r="AE43">
        <v>0.57890814235140697</v>
      </c>
      <c r="AF43">
        <v>0.55356810136016399</v>
      </c>
      <c r="AG43">
        <v>0.52748276504564995</v>
      </c>
      <c r="AH43">
        <v>0.50065213340786296</v>
      </c>
      <c r="AI43">
        <v>0.473262530277622</v>
      </c>
      <c r="AJ43">
        <v>0.44531395565492798</v>
      </c>
      <c r="AK43">
        <v>0.41680640953977999</v>
      </c>
      <c r="AL43">
        <v>0.38811253959381398</v>
      </c>
      <c r="AM43">
        <v>0.35923234581703001</v>
      </c>
      <c r="AN43">
        <v>0.33016582820942803</v>
      </c>
      <c r="AO43">
        <v>0.30147195826346201</v>
      </c>
      <c r="AP43">
        <v>0.27296441214831402</v>
      </c>
      <c r="AQ43">
        <v>0.24501583752562001</v>
      </c>
      <c r="AR43">
        <v>0.21799888205701501</v>
      </c>
      <c r="AS43">
        <v>0.191913545742501</v>
      </c>
      <c r="AT43">
        <v>0.16694615241289401</v>
      </c>
      <c r="AU43">
        <v>0.143469349729831</v>
      </c>
      <c r="AV43">
        <v>0.121669461524129</v>
      </c>
      <c r="AW43">
        <v>0.10173281162660699</v>
      </c>
      <c r="AX43">
        <v>8.3659400037264797E-2</v>
      </c>
      <c r="AY43">
        <v>6.7635550586920098E-2</v>
      </c>
      <c r="AZ43">
        <v>5.3661263275573003E-2</v>
      </c>
      <c r="BA43">
        <v>4.1550214272405503E-2</v>
      </c>
      <c r="BB43">
        <v>3.1488727408235502E-2</v>
      </c>
      <c r="BC43">
        <v>2.3290478852245201E-2</v>
      </c>
      <c r="BD43">
        <v>1.6769144773616601E-2</v>
      </c>
      <c r="BE43">
        <v>1.1738401341531601E-2</v>
      </c>
      <c r="BF43">
        <v>7.6392770635364303E-3</v>
      </c>
      <c r="BG43">
        <v>4.8444196012669997E-3</v>
      </c>
      <c r="BH43">
        <v>2.2358859698155399E-3</v>
      </c>
      <c r="BI43">
        <v>9.3161915408980804E-4</v>
      </c>
      <c r="BJ43">
        <v>5.5897149245388497E-4</v>
      </c>
      <c r="BK43">
        <v>1.8632383081796199E-4</v>
      </c>
      <c r="BL43">
        <v>0</v>
      </c>
    </row>
    <row r="44" spans="1:74">
      <c r="A44">
        <v>40</v>
      </c>
      <c r="B44">
        <v>0.53120000000000001</v>
      </c>
      <c r="C44">
        <f t="shared" si="3"/>
        <v>0.10700196937226333</v>
      </c>
      <c r="D44">
        <f t="shared" si="4"/>
        <v>-8</v>
      </c>
      <c r="E44">
        <v>0.98945783132530096</v>
      </c>
      <c r="F44">
        <v>0.97891566265060204</v>
      </c>
      <c r="G44">
        <v>0.96818524096385605</v>
      </c>
      <c r="H44">
        <v>0.95707831325301196</v>
      </c>
      <c r="I44">
        <v>0.94597138554216897</v>
      </c>
      <c r="J44">
        <v>0.93448795180722899</v>
      </c>
      <c r="K44">
        <v>0.922628012048193</v>
      </c>
      <c r="L44">
        <v>0.91039156626506001</v>
      </c>
      <c r="M44">
        <v>0.89777861445783202</v>
      </c>
      <c r="N44">
        <v>0.88478915662650603</v>
      </c>
      <c r="O44">
        <v>0.87123493975903699</v>
      </c>
      <c r="P44">
        <v>0.85711596385542299</v>
      </c>
      <c r="Q44">
        <v>0.84243222891566405</v>
      </c>
      <c r="R44">
        <v>0.82718373493976005</v>
      </c>
      <c r="S44">
        <v>0.81118222891566305</v>
      </c>
      <c r="T44">
        <v>0.79461596385542199</v>
      </c>
      <c r="U44">
        <v>0.77729668674698804</v>
      </c>
      <c r="V44">
        <v>0.75922439759036098</v>
      </c>
      <c r="W44">
        <v>0.74039909638554202</v>
      </c>
      <c r="X44">
        <v>0.72063253012048201</v>
      </c>
      <c r="Y44">
        <v>0.70011295180722899</v>
      </c>
      <c r="Z44">
        <v>0.67884036144578297</v>
      </c>
      <c r="AA44">
        <v>0.656626506024096</v>
      </c>
      <c r="AB44">
        <v>0.63347138554216897</v>
      </c>
      <c r="AC44">
        <v>0.60956325301204795</v>
      </c>
      <c r="AD44">
        <v>0.58490210843373502</v>
      </c>
      <c r="AE44">
        <v>0.55929969879518104</v>
      </c>
      <c r="AF44">
        <v>0.53294427710843395</v>
      </c>
      <c r="AG44">
        <v>0.50583584337349397</v>
      </c>
      <c r="AH44">
        <v>0.47816265060240998</v>
      </c>
      <c r="AI44">
        <v>0.44992469879518099</v>
      </c>
      <c r="AJ44">
        <v>0.421121987951807</v>
      </c>
      <c r="AK44">
        <v>0.392131024096386</v>
      </c>
      <c r="AL44">
        <v>0.36295180722891601</v>
      </c>
      <c r="AM44">
        <v>0.33358433734939802</v>
      </c>
      <c r="AN44">
        <v>0.30459337349397603</v>
      </c>
      <c r="AO44">
        <v>0.27579066265060298</v>
      </c>
      <c r="AP44">
        <v>0.24755271084337399</v>
      </c>
      <c r="AQ44">
        <v>0.220256024096386</v>
      </c>
      <c r="AR44">
        <v>0.19390060240963899</v>
      </c>
      <c r="AS44">
        <v>0.16867469879518099</v>
      </c>
      <c r="AT44">
        <v>0.14495481927710899</v>
      </c>
      <c r="AU44">
        <v>0.12292921686747001</v>
      </c>
      <c r="AV44">
        <v>0.102786144578313</v>
      </c>
      <c r="AW44">
        <v>8.4525602409638606E-2</v>
      </c>
      <c r="AX44">
        <v>6.8335843373494007E-2</v>
      </c>
      <c r="AY44">
        <v>5.4216867469879602E-2</v>
      </c>
      <c r="AZ44">
        <v>4.1980421686747101E-2</v>
      </c>
      <c r="BA44">
        <v>3.1814759036144599E-2</v>
      </c>
      <c r="BB44">
        <v>2.3531626506024101E-2</v>
      </c>
      <c r="BC44">
        <v>1.69427710843374E-2</v>
      </c>
      <c r="BD44">
        <v>1.18599397590362E-2</v>
      </c>
      <c r="BE44">
        <v>7.7183734939759103E-3</v>
      </c>
      <c r="BF44">
        <v>4.8945783132530096E-3</v>
      </c>
      <c r="BG44">
        <v>2.2590361445783101E-3</v>
      </c>
      <c r="BH44">
        <v>9.4126506024096396E-4</v>
      </c>
      <c r="BI44">
        <v>5.6475903614457905E-4</v>
      </c>
      <c r="BJ44">
        <v>1.88253012048193E-4</v>
      </c>
    </row>
    <row r="45" spans="1:74">
      <c r="A45">
        <v>41</v>
      </c>
      <c r="B45">
        <v>0.52559999999999996</v>
      </c>
      <c r="C45">
        <f t="shared" si="3"/>
        <v>0.10617223307705065</v>
      </c>
      <c r="D45">
        <f t="shared" si="4"/>
        <v>-8</v>
      </c>
      <c r="E45">
        <v>0.98934550989345504</v>
      </c>
      <c r="F45">
        <v>0.97850076103500805</v>
      </c>
      <c r="G45">
        <v>0.96727549467275498</v>
      </c>
      <c r="H45">
        <v>0.95605022831050201</v>
      </c>
      <c r="I45">
        <v>0.94444444444444497</v>
      </c>
      <c r="J45">
        <v>0.93245814307458197</v>
      </c>
      <c r="K45">
        <v>0.920091324200913</v>
      </c>
      <c r="L45">
        <v>0.90734398782343995</v>
      </c>
      <c r="M45">
        <v>0.89421613394216204</v>
      </c>
      <c r="N45">
        <v>0.88051750380517602</v>
      </c>
      <c r="O45">
        <v>0.86624809741248199</v>
      </c>
      <c r="P45">
        <v>0.85140791476407995</v>
      </c>
      <c r="Q45">
        <v>0.83599695585997003</v>
      </c>
      <c r="R45">
        <v>0.81982496194825005</v>
      </c>
      <c r="S45">
        <v>0.80308219178082196</v>
      </c>
      <c r="T45">
        <v>0.78557838660578405</v>
      </c>
      <c r="U45">
        <v>0.76731354642313498</v>
      </c>
      <c r="V45">
        <v>0.74828767123287698</v>
      </c>
      <c r="W45">
        <v>0.72831050228310501</v>
      </c>
      <c r="X45">
        <v>0.70757229832572299</v>
      </c>
      <c r="Y45">
        <v>0.68607305936073104</v>
      </c>
      <c r="Z45">
        <v>0.66362252663622601</v>
      </c>
      <c r="AA45">
        <v>0.640220700152207</v>
      </c>
      <c r="AB45">
        <v>0.61605783866057895</v>
      </c>
      <c r="AC45">
        <v>0.59113394216133996</v>
      </c>
      <c r="AD45">
        <v>0.56525875190258801</v>
      </c>
      <c r="AE45">
        <v>0.53862252663622601</v>
      </c>
      <c r="AF45">
        <v>0.51122526636225296</v>
      </c>
      <c r="AG45">
        <v>0.48325722983257302</v>
      </c>
      <c r="AH45">
        <v>0.45471841704718402</v>
      </c>
      <c r="AI45">
        <v>0.42560882800608901</v>
      </c>
      <c r="AJ45">
        <v>0.39630898021309002</v>
      </c>
      <c r="AK45">
        <v>0.36681887366818899</v>
      </c>
      <c r="AL45">
        <v>0.33713850837138598</v>
      </c>
      <c r="AM45">
        <v>0.30783866057838699</v>
      </c>
      <c r="AN45">
        <v>0.27872907153729098</v>
      </c>
      <c r="AO45">
        <v>0.25019025875190298</v>
      </c>
      <c r="AP45">
        <v>0.22260273972602801</v>
      </c>
      <c r="AQ45">
        <v>0.19596651445966501</v>
      </c>
      <c r="AR45">
        <v>0.17047184170471899</v>
      </c>
      <c r="AS45">
        <v>0.14649923896499301</v>
      </c>
      <c r="AT45">
        <v>0.12423896499239</v>
      </c>
      <c r="AU45">
        <v>0.103881278538813</v>
      </c>
      <c r="AV45">
        <v>8.5426179604261895E-2</v>
      </c>
      <c r="AW45">
        <v>6.9063926940639397E-2</v>
      </c>
      <c r="AX45">
        <v>5.47945205479453E-2</v>
      </c>
      <c r="AY45">
        <v>4.2427701674277098E-2</v>
      </c>
      <c r="AZ45">
        <v>3.2153729071537303E-2</v>
      </c>
      <c r="BA45">
        <v>2.3782343987823501E-2</v>
      </c>
      <c r="BB45">
        <v>1.71232876712329E-2</v>
      </c>
      <c r="BC45">
        <v>1.1986301369862999E-2</v>
      </c>
      <c r="BD45">
        <v>7.8006088280060896E-3</v>
      </c>
      <c r="BE45">
        <v>4.9467275494672804E-3</v>
      </c>
      <c r="BF45">
        <v>2.2831050228310501E-3</v>
      </c>
      <c r="BG45">
        <v>9.5129375951293895E-4</v>
      </c>
      <c r="BH45">
        <v>5.7077625570776296E-4</v>
      </c>
      <c r="BI45">
        <v>1.90258751902588E-4</v>
      </c>
      <c r="BJ45">
        <v>0</v>
      </c>
    </row>
    <row r="46" spans="1:74">
      <c r="A46">
        <v>42</v>
      </c>
      <c r="B46">
        <v>0.52</v>
      </c>
      <c r="C46">
        <f t="shared" si="3"/>
        <v>0.10524328918143278</v>
      </c>
      <c r="D46">
        <f t="shared" si="4"/>
        <v>-8</v>
      </c>
      <c r="E46">
        <v>0.98903846153846098</v>
      </c>
      <c r="F46">
        <v>0.97769230769230697</v>
      </c>
      <c r="G46">
        <v>0.96634615384615297</v>
      </c>
      <c r="H46">
        <v>0.95461538461538498</v>
      </c>
      <c r="I46">
        <v>0.94249999999999901</v>
      </c>
      <c r="J46">
        <v>0.93</v>
      </c>
      <c r="K46">
        <v>0.917115384615385</v>
      </c>
      <c r="L46">
        <v>0.90384615384615397</v>
      </c>
      <c r="M46">
        <v>0.89</v>
      </c>
      <c r="N46">
        <v>0.87557692307692403</v>
      </c>
      <c r="O46">
        <v>0.86057692307692402</v>
      </c>
      <c r="P46">
        <v>0.84499999999999997</v>
      </c>
      <c r="Q46">
        <v>0.82865384615384596</v>
      </c>
      <c r="R46">
        <v>0.81173076923076903</v>
      </c>
      <c r="S46">
        <v>0.79403846153846103</v>
      </c>
      <c r="T46">
        <v>0.77557692307692305</v>
      </c>
      <c r="U46">
        <v>0.756346153846153</v>
      </c>
      <c r="V46">
        <v>0.73615384615384605</v>
      </c>
      <c r="W46">
        <v>0.71519230769230702</v>
      </c>
      <c r="X46">
        <v>0.69346153846153802</v>
      </c>
      <c r="Y46">
        <v>0.67076923076923101</v>
      </c>
      <c r="Z46">
        <v>0.64711538461538498</v>
      </c>
      <c r="AA46">
        <v>0.62269230769230799</v>
      </c>
      <c r="AB46">
        <v>0.59750000000000003</v>
      </c>
      <c r="AC46">
        <v>0.57134615384615395</v>
      </c>
      <c r="AD46">
        <v>0.54442307692307701</v>
      </c>
      <c r="AE46">
        <v>0.51673076923076899</v>
      </c>
      <c r="AF46">
        <v>0.488461538461539</v>
      </c>
      <c r="AG46">
        <v>0.45961538461538498</v>
      </c>
      <c r="AH46">
        <v>0.43019230769230798</v>
      </c>
      <c r="AI46">
        <v>0.400576923076923</v>
      </c>
      <c r="AJ46">
        <v>0.37076923076923102</v>
      </c>
      <c r="AK46">
        <v>0.34076923076923099</v>
      </c>
      <c r="AL46">
        <v>0.311153846153847</v>
      </c>
      <c r="AM46">
        <v>0.28173076923076901</v>
      </c>
      <c r="AN46">
        <v>0.25288461538461598</v>
      </c>
      <c r="AO46">
        <v>0.22500000000000001</v>
      </c>
      <c r="AP46">
        <v>0.19807692307692301</v>
      </c>
      <c r="AQ46">
        <v>0.172307692307692</v>
      </c>
      <c r="AR46">
        <v>0.14807692307692299</v>
      </c>
      <c r="AS46">
        <v>0.125576923076923</v>
      </c>
      <c r="AT46">
        <v>0.105</v>
      </c>
      <c r="AU46">
        <v>8.6346153846153906E-2</v>
      </c>
      <c r="AV46">
        <v>6.9807692307692404E-2</v>
      </c>
      <c r="AW46">
        <v>5.5384615384615497E-2</v>
      </c>
      <c r="AX46">
        <v>4.28846153846155E-2</v>
      </c>
      <c r="AY46">
        <v>3.2500000000000001E-2</v>
      </c>
      <c r="AZ46">
        <v>2.4038461538461599E-2</v>
      </c>
      <c r="BA46">
        <v>1.7307692307692302E-2</v>
      </c>
      <c r="BB46">
        <v>1.2115384615384601E-2</v>
      </c>
      <c r="BC46">
        <v>7.8846153846153805E-3</v>
      </c>
      <c r="BD46">
        <v>5.0000000000000001E-3</v>
      </c>
      <c r="BE46">
        <v>2.3076923076923101E-3</v>
      </c>
      <c r="BF46">
        <v>9.6153846153846203E-4</v>
      </c>
      <c r="BG46">
        <v>5.7692307692307698E-4</v>
      </c>
      <c r="BH46">
        <v>1.9230769230769201E-4</v>
      </c>
      <c r="BI46">
        <v>0</v>
      </c>
    </row>
    <row r="47" spans="1:74">
      <c r="A47">
        <v>43</v>
      </c>
      <c r="B47">
        <v>0.51429999999999998</v>
      </c>
      <c r="C47">
        <f t="shared" si="3"/>
        <v>0.10423043688227372</v>
      </c>
      <c r="D47">
        <f t="shared" si="4"/>
        <v>-8</v>
      </c>
      <c r="E47">
        <v>0.98852809644176498</v>
      </c>
      <c r="F47">
        <v>0.97705619288353096</v>
      </c>
      <c r="G47">
        <v>0.96519541123857699</v>
      </c>
      <c r="H47">
        <v>0.95294575150690197</v>
      </c>
      <c r="I47">
        <v>0.940307213688509</v>
      </c>
      <c r="J47">
        <v>0.92727979778339498</v>
      </c>
      <c r="K47">
        <v>0.913863503791562</v>
      </c>
      <c r="L47">
        <v>0.89986389266964895</v>
      </c>
      <c r="M47">
        <v>0.88528096441765602</v>
      </c>
      <c r="N47">
        <v>0.87011471903558302</v>
      </c>
      <c r="O47">
        <v>0.85436515652343104</v>
      </c>
      <c r="P47">
        <v>0.83783783783783805</v>
      </c>
      <c r="Q47">
        <v>0.82072720202216598</v>
      </c>
      <c r="R47">
        <v>0.80283881003305502</v>
      </c>
      <c r="S47">
        <v>0.78417266187050305</v>
      </c>
      <c r="T47">
        <v>0.76472875753451297</v>
      </c>
      <c r="U47">
        <v>0.74431265798172297</v>
      </c>
      <c r="V47">
        <v>0.72311880225549297</v>
      </c>
      <c r="W47">
        <v>0.70114719035582396</v>
      </c>
      <c r="X47">
        <v>0.67820338323935503</v>
      </c>
      <c r="Y47">
        <v>0.65428738090608596</v>
      </c>
      <c r="Z47">
        <v>0.62959362239937799</v>
      </c>
      <c r="AA47">
        <v>0.60412210771923003</v>
      </c>
      <c r="AB47">
        <v>0.57767839782228303</v>
      </c>
      <c r="AC47">
        <v>0.55045693175189603</v>
      </c>
      <c r="AD47">
        <v>0.52245770950807002</v>
      </c>
      <c r="AE47">
        <v>0.49387517013416299</v>
      </c>
      <c r="AF47">
        <v>0.46470931363017698</v>
      </c>
      <c r="AG47">
        <v>0.43496013999611199</v>
      </c>
      <c r="AH47">
        <v>0.40501652731868598</v>
      </c>
      <c r="AI47">
        <v>0.374878475597901</v>
      </c>
      <c r="AJ47">
        <v>0.34454598483375498</v>
      </c>
      <c r="AK47">
        <v>0.31460237215633002</v>
      </c>
      <c r="AL47">
        <v>0.28485319852226398</v>
      </c>
      <c r="AM47">
        <v>0.25568734201827797</v>
      </c>
      <c r="AN47">
        <v>0.227493680731091</v>
      </c>
      <c r="AO47">
        <v>0.200272214660704</v>
      </c>
      <c r="AP47">
        <v>0.174217382850477</v>
      </c>
      <c r="AQ47">
        <v>0.14971806338712801</v>
      </c>
      <c r="AR47">
        <v>0.126968695314019</v>
      </c>
      <c r="AS47">
        <v>0.10616371767450899</v>
      </c>
      <c r="AT47">
        <v>8.7303130468598195E-2</v>
      </c>
      <c r="AU47">
        <v>7.0581372739646195E-2</v>
      </c>
      <c r="AV47">
        <v>5.5998444487653197E-2</v>
      </c>
      <c r="AW47">
        <v>4.3359906669259297E-2</v>
      </c>
      <c r="AX47">
        <v>3.2860198327824303E-2</v>
      </c>
      <c r="AY47">
        <v>2.4304880419988399E-2</v>
      </c>
      <c r="AZ47">
        <v>1.74995139023916E-2</v>
      </c>
      <c r="BA47">
        <v>1.2249659731674099E-2</v>
      </c>
      <c r="BB47">
        <v>7.9720007777561806E-3</v>
      </c>
      <c r="BC47">
        <v>5.0554151273575799E-3</v>
      </c>
      <c r="BD47">
        <v>2.3332685203188799E-3</v>
      </c>
      <c r="BE47">
        <v>9.7219521679953397E-4</v>
      </c>
      <c r="BF47">
        <v>5.8331713007971997E-4</v>
      </c>
      <c r="BG47">
        <v>1.94439043359907E-4</v>
      </c>
    </row>
    <row r="48" spans="1:74">
      <c r="A48">
        <v>44</v>
      </c>
      <c r="B48">
        <v>0.50839999999999996</v>
      </c>
      <c r="C48">
        <f t="shared" si="3"/>
        <v>0.10315240444646973</v>
      </c>
      <c r="D48">
        <f t="shared" si="4"/>
        <v>-8</v>
      </c>
      <c r="E48">
        <v>0.98839496459480702</v>
      </c>
      <c r="F48">
        <v>0.97639653815893102</v>
      </c>
      <c r="G48">
        <v>0.96400472069236798</v>
      </c>
      <c r="H48">
        <v>0.95121951219512202</v>
      </c>
      <c r="I48">
        <v>0.93804091266719203</v>
      </c>
      <c r="J48">
        <v>0.92446892210857701</v>
      </c>
      <c r="K48">
        <v>0.91030684500393499</v>
      </c>
      <c r="L48">
        <v>0.89555468135326599</v>
      </c>
      <c r="M48">
        <v>0.880212431156571</v>
      </c>
      <c r="N48">
        <v>0.86428009441384801</v>
      </c>
      <c r="O48">
        <v>0.84756097560975696</v>
      </c>
      <c r="P48">
        <v>0.83025177025963903</v>
      </c>
      <c r="Q48">
        <v>0.81215578284815204</v>
      </c>
      <c r="R48">
        <v>0.79327301337529499</v>
      </c>
      <c r="S48">
        <v>0.77360346184106998</v>
      </c>
      <c r="T48">
        <v>0.75295043273013396</v>
      </c>
      <c r="U48">
        <v>0.73151062155782898</v>
      </c>
      <c r="V48">
        <v>0.70928402832415505</v>
      </c>
      <c r="W48">
        <v>0.68607395751376898</v>
      </c>
      <c r="X48">
        <v>0.66188040912667301</v>
      </c>
      <c r="Y48">
        <v>0.63690007867820697</v>
      </c>
      <c r="Z48">
        <v>0.61113296616837198</v>
      </c>
      <c r="AA48">
        <v>0.58438237608182597</v>
      </c>
      <c r="AB48">
        <v>0.55684500393391101</v>
      </c>
      <c r="AC48">
        <v>0.52852084972462698</v>
      </c>
      <c r="AD48">
        <v>0.49960660896931602</v>
      </c>
      <c r="AE48">
        <v>0.47010228166797902</v>
      </c>
      <c r="AF48">
        <v>0.44000786782061402</v>
      </c>
      <c r="AG48">
        <v>0.409716758457908</v>
      </c>
      <c r="AH48">
        <v>0.37922895357985897</v>
      </c>
      <c r="AI48">
        <v>0.34854445318646798</v>
      </c>
      <c r="AJ48">
        <v>0.31825334382376202</v>
      </c>
      <c r="AK48">
        <v>0.28815892997639703</v>
      </c>
      <c r="AL48">
        <v>0.25865460267506002</v>
      </c>
      <c r="AM48">
        <v>0.23013375295043301</v>
      </c>
      <c r="AN48">
        <v>0.20259638080251799</v>
      </c>
      <c r="AO48">
        <v>0.17623918174665701</v>
      </c>
      <c r="AP48">
        <v>0.15145554681353299</v>
      </c>
      <c r="AQ48">
        <v>0.12844217151848999</v>
      </c>
      <c r="AR48">
        <v>0.10739575137686901</v>
      </c>
      <c r="AS48">
        <v>8.8316286388670506E-2</v>
      </c>
      <c r="AT48">
        <v>7.1400472069236998E-2</v>
      </c>
      <c r="AU48">
        <v>5.6648308418568202E-2</v>
      </c>
      <c r="AV48">
        <v>4.3863099921321903E-2</v>
      </c>
      <c r="AW48">
        <v>3.3241542092840401E-2</v>
      </c>
      <c r="AX48">
        <v>2.4586939417781301E-2</v>
      </c>
      <c r="AY48">
        <v>1.7702596380802502E-2</v>
      </c>
      <c r="AZ48">
        <v>1.2391817466561801E-2</v>
      </c>
      <c r="BA48">
        <v>8.0645161290322596E-3</v>
      </c>
      <c r="BB48">
        <v>5.1140833988985099E-3</v>
      </c>
      <c r="BC48">
        <v>2.3603461841070002E-3</v>
      </c>
      <c r="BD48">
        <v>9.8347757671125207E-4</v>
      </c>
      <c r="BE48">
        <v>5.9008654602675102E-4</v>
      </c>
      <c r="BF48">
        <v>1.9669551534225001E-4</v>
      </c>
      <c r="BG48">
        <v>0</v>
      </c>
    </row>
    <row r="49" spans="1:57">
      <c r="A49">
        <v>45</v>
      </c>
      <c r="B49">
        <v>0.50249999999999995</v>
      </c>
      <c r="C49">
        <f t="shared" si="3"/>
        <v>0.10194121368757673</v>
      </c>
      <c r="D49">
        <f t="shared" si="4"/>
        <v>-8</v>
      </c>
      <c r="E49">
        <v>0.98786069651741304</v>
      </c>
      <c r="F49">
        <v>0.975323383084577</v>
      </c>
      <c r="G49">
        <v>0.96238805970149199</v>
      </c>
      <c r="H49">
        <v>0.94905472636815902</v>
      </c>
      <c r="I49">
        <v>0.93532338308457696</v>
      </c>
      <c r="J49">
        <v>0.92099502487562301</v>
      </c>
      <c r="K49">
        <v>0.90606965174129395</v>
      </c>
      <c r="L49">
        <v>0.89054726368159298</v>
      </c>
      <c r="M49">
        <v>0.87442786069651801</v>
      </c>
      <c r="N49">
        <v>0.85751243781094599</v>
      </c>
      <c r="O49">
        <v>0.84</v>
      </c>
      <c r="P49">
        <v>0.82169154228855701</v>
      </c>
      <c r="Q49">
        <v>0.802587064676617</v>
      </c>
      <c r="R49">
        <v>0.78268656716417895</v>
      </c>
      <c r="S49">
        <v>0.76179104477611903</v>
      </c>
      <c r="T49">
        <v>0.74009950248756196</v>
      </c>
      <c r="U49">
        <v>0.71761194029850806</v>
      </c>
      <c r="V49">
        <v>0.69412935323383096</v>
      </c>
      <c r="W49">
        <v>0.669651741293533</v>
      </c>
      <c r="X49">
        <v>0.64437810945273699</v>
      </c>
      <c r="Y49">
        <v>0.61830845771144305</v>
      </c>
      <c r="Z49">
        <v>0.59124378109452802</v>
      </c>
      <c r="AA49">
        <v>0.56338308457711495</v>
      </c>
      <c r="AB49">
        <v>0.53472636815920405</v>
      </c>
      <c r="AC49">
        <v>0.50547263681592103</v>
      </c>
      <c r="AD49">
        <v>0.475621890547264</v>
      </c>
      <c r="AE49">
        <v>0.44517412935323403</v>
      </c>
      <c r="AF49">
        <v>0.41452736318408001</v>
      </c>
      <c r="AG49">
        <v>0.38368159203980201</v>
      </c>
      <c r="AH49">
        <v>0.35263681592039903</v>
      </c>
      <c r="AI49">
        <v>0.32199004975124401</v>
      </c>
      <c r="AJ49">
        <v>0.29154228855721398</v>
      </c>
      <c r="AK49">
        <v>0.26169154228855801</v>
      </c>
      <c r="AL49">
        <v>0.23283582089552299</v>
      </c>
      <c r="AM49">
        <v>0.20497512437811</v>
      </c>
      <c r="AN49">
        <v>0.17830845771144299</v>
      </c>
      <c r="AO49">
        <v>0.153233830845771</v>
      </c>
      <c r="AP49">
        <v>0.12995024875621899</v>
      </c>
      <c r="AQ49">
        <v>0.108656716417911</v>
      </c>
      <c r="AR49">
        <v>8.9353233830845896E-2</v>
      </c>
      <c r="AS49">
        <v>7.2238805970149395E-2</v>
      </c>
      <c r="AT49">
        <v>5.7313432835821E-2</v>
      </c>
      <c r="AU49">
        <v>4.4378109452736403E-2</v>
      </c>
      <c r="AV49">
        <v>3.3631840796020003E-2</v>
      </c>
      <c r="AW49">
        <v>2.48756218905473E-2</v>
      </c>
      <c r="AX49">
        <v>1.7910447761194E-2</v>
      </c>
      <c r="AY49">
        <v>1.25373134328358E-2</v>
      </c>
      <c r="AZ49">
        <v>8.1592039800995105E-3</v>
      </c>
      <c r="BA49">
        <v>5.1741293532338297E-3</v>
      </c>
      <c r="BB49">
        <v>2.3880597014925399E-3</v>
      </c>
      <c r="BC49">
        <v>9.9502487562189092E-4</v>
      </c>
      <c r="BD49">
        <v>5.9701492537313498E-4</v>
      </c>
      <c r="BE49">
        <v>1.9900497512437799E-4</v>
      </c>
    </row>
    <row r="50" spans="1:57">
      <c r="A50">
        <v>46</v>
      </c>
      <c r="B50">
        <v>0.49640000000000001</v>
      </c>
      <c r="C50">
        <f t="shared" si="3"/>
        <v>0.10063927074258554</v>
      </c>
      <c r="D50">
        <f t="shared" si="4"/>
        <v>-8</v>
      </c>
      <c r="E50">
        <v>0.98730862207896897</v>
      </c>
      <c r="F50">
        <v>0.97421434327155498</v>
      </c>
      <c r="G50">
        <v>0.96071716357776105</v>
      </c>
      <c r="H50">
        <v>0.94681708299758305</v>
      </c>
      <c r="I50">
        <v>0.93231265108783401</v>
      </c>
      <c r="J50">
        <v>0.91720386784851105</v>
      </c>
      <c r="K50">
        <v>0.90149073327961504</v>
      </c>
      <c r="L50">
        <v>0.885173247381145</v>
      </c>
      <c r="M50">
        <v>0.86804995970991194</v>
      </c>
      <c r="N50">
        <v>0.85032232070910596</v>
      </c>
      <c r="O50">
        <v>0.83178887993553696</v>
      </c>
      <c r="P50">
        <v>0.81244963738920295</v>
      </c>
      <c r="Q50">
        <v>0.79230459307010503</v>
      </c>
      <c r="R50">
        <v>0.77115229653505302</v>
      </c>
      <c r="S50">
        <v>0.74919419822723599</v>
      </c>
      <c r="T50">
        <v>0.72643029814665605</v>
      </c>
      <c r="U50">
        <v>0.70265914585012101</v>
      </c>
      <c r="V50">
        <v>0.67788074133763199</v>
      </c>
      <c r="W50">
        <v>0.65229653505237795</v>
      </c>
      <c r="X50">
        <v>0.62590652699436</v>
      </c>
      <c r="Y50">
        <v>0.59850926672038796</v>
      </c>
      <c r="Z50">
        <v>0.57030620467365101</v>
      </c>
      <c r="AA50">
        <v>0.54129734085415104</v>
      </c>
      <c r="AB50">
        <v>0.51168412570507704</v>
      </c>
      <c r="AC50">
        <v>0.481466559226431</v>
      </c>
      <c r="AD50">
        <v>0.45064464141821198</v>
      </c>
      <c r="AE50">
        <v>0.41962127316680198</v>
      </c>
      <c r="AF50">
        <v>0.388396454472201</v>
      </c>
      <c r="AG50">
        <v>0.356970185334409</v>
      </c>
      <c r="AH50">
        <v>0.325946817082998</v>
      </c>
      <c r="AI50">
        <v>0.29512489927477897</v>
      </c>
      <c r="AJ50">
        <v>0.26490733279613299</v>
      </c>
      <c r="AK50">
        <v>0.23569701853344099</v>
      </c>
      <c r="AL50">
        <v>0.20749395648670499</v>
      </c>
      <c r="AM50">
        <v>0.18049959709911401</v>
      </c>
      <c r="AN50">
        <v>0.155116841257051</v>
      </c>
      <c r="AO50">
        <v>0.13154713940370699</v>
      </c>
      <c r="AP50">
        <v>0.10999194198227299</v>
      </c>
      <c r="AQ50">
        <v>9.0451248992748007E-2</v>
      </c>
      <c r="AR50">
        <v>7.31265108783241E-2</v>
      </c>
      <c r="AS50">
        <v>5.8017727639000899E-2</v>
      </c>
      <c r="AT50">
        <v>4.4923448831587498E-2</v>
      </c>
      <c r="AU50">
        <v>3.4045124899274901E-2</v>
      </c>
      <c r="AV50">
        <v>2.5181305398871898E-2</v>
      </c>
      <c r="AW50">
        <v>1.81305398871878E-2</v>
      </c>
      <c r="AX50">
        <v>1.2691377921031401E-2</v>
      </c>
      <c r="AY50">
        <v>8.2594681708299793E-3</v>
      </c>
      <c r="AZ50">
        <v>5.2377115229653602E-3</v>
      </c>
      <c r="BA50">
        <v>2.4174053182916999E-3</v>
      </c>
      <c r="BB50">
        <v>1.00725221595488E-3</v>
      </c>
      <c r="BC50">
        <v>6.0435132957292596E-4</v>
      </c>
      <c r="BD50">
        <v>2.0145044319097501E-4</v>
      </c>
      <c r="BE50">
        <v>0</v>
      </c>
    </row>
    <row r="51" spans="1:57">
      <c r="A51">
        <v>47</v>
      </c>
      <c r="B51">
        <v>0.49009999999999998</v>
      </c>
      <c r="C51">
        <f t="shared" si="3"/>
        <v>9.9235513937598649E-2</v>
      </c>
      <c r="D51">
        <f t="shared" si="4"/>
        <v>-8</v>
      </c>
      <c r="E51">
        <v>0.98673740053050396</v>
      </c>
      <c r="F51">
        <v>0.97306672107733205</v>
      </c>
      <c r="G51">
        <v>0.95898796164048195</v>
      </c>
      <c r="H51">
        <v>0.94429708222811803</v>
      </c>
      <c r="I51">
        <v>0.92899408284023799</v>
      </c>
      <c r="J51">
        <v>0.91307896347684303</v>
      </c>
      <c r="K51">
        <v>0.89655172413793205</v>
      </c>
      <c r="L51">
        <v>0.879208324831668</v>
      </c>
      <c r="M51">
        <v>0.86125280554988803</v>
      </c>
      <c r="N51">
        <v>0.842481126300755</v>
      </c>
      <c r="O51">
        <v>0.82289328708426901</v>
      </c>
      <c r="P51">
        <v>0.80248928790042895</v>
      </c>
      <c r="Q51">
        <v>0.781065088757397</v>
      </c>
      <c r="R51">
        <v>0.75882472964701098</v>
      </c>
      <c r="S51">
        <v>0.735768210569272</v>
      </c>
      <c r="T51">
        <v>0.71169149153234101</v>
      </c>
      <c r="U51">
        <v>0.68659457253621803</v>
      </c>
      <c r="V51">
        <v>0.66068149357274097</v>
      </c>
      <c r="W51">
        <v>0.63395225464191096</v>
      </c>
      <c r="X51">
        <v>0.60620281575188795</v>
      </c>
      <c r="Y51">
        <v>0.57763721689451197</v>
      </c>
      <c r="Z51">
        <v>0.54825545806978204</v>
      </c>
      <c r="AA51">
        <v>0.51826157926953698</v>
      </c>
      <c r="AB51">
        <v>0.487655580493777</v>
      </c>
      <c r="AC51">
        <v>0.45643746174250199</v>
      </c>
      <c r="AD51">
        <v>0.425015302999388</v>
      </c>
      <c r="AE51">
        <v>0.39338910426443602</v>
      </c>
      <c r="AF51">
        <v>0.36155886553764599</v>
      </c>
      <c r="AG51">
        <v>0.330136706794532</v>
      </c>
      <c r="AH51">
        <v>0.29891858804325699</v>
      </c>
      <c r="AI51">
        <v>0.26831258926749701</v>
      </c>
      <c r="AJ51">
        <v>0.23872679045092901</v>
      </c>
      <c r="AK51">
        <v>0.21016119159355301</v>
      </c>
      <c r="AL51">
        <v>0.182819832687207</v>
      </c>
      <c r="AM51">
        <v>0.15711079371556899</v>
      </c>
      <c r="AN51">
        <v>0.133238114670476</v>
      </c>
      <c r="AO51">
        <v>0.111405835543767</v>
      </c>
      <c r="AP51">
        <v>9.1613956335441907E-2</v>
      </c>
      <c r="AQ51">
        <v>7.4066517037339394E-2</v>
      </c>
      <c r="AR51">
        <v>5.8763517649459397E-2</v>
      </c>
      <c r="AS51">
        <v>4.55009181799634E-2</v>
      </c>
      <c r="AT51">
        <v>3.4482758620689703E-2</v>
      </c>
      <c r="AU51">
        <v>2.55049989798001E-2</v>
      </c>
      <c r="AV51">
        <v>1.8363599265456099E-2</v>
      </c>
      <c r="AW51">
        <v>1.2854519485819201E-2</v>
      </c>
      <c r="AX51">
        <v>8.3656396653744199E-3</v>
      </c>
      <c r="AY51">
        <v>5.3050397877984099E-3</v>
      </c>
      <c r="AZ51">
        <v>2.4484799020608101E-3</v>
      </c>
      <c r="BA51">
        <v>1.020199959192E-3</v>
      </c>
      <c r="BB51">
        <v>6.1211997551520198E-4</v>
      </c>
      <c r="BC51">
        <v>2.04039991838401E-4</v>
      </c>
      <c r="BD51">
        <v>0</v>
      </c>
    </row>
    <row r="52" spans="1:57">
      <c r="A52">
        <v>48</v>
      </c>
      <c r="B52">
        <v>0.48359999999999997</v>
      </c>
      <c r="C52">
        <f t="shared" si="3"/>
        <v>9.7717341545817279E-2</v>
      </c>
      <c r="D52">
        <f t="shared" si="4"/>
        <v>-8</v>
      </c>
      <c r="E52">
        <v>0.98614557485525201</v>
      </c>
      <c r="F52">
        <v>0.97187758478081099</v>
      </c>
      <c r="G52">
        <v>0.95698924731182899</v>
      </c>
      <c r="H52">
        <v>0.94148056244830503</v>
      </c>
      <c r="I52">
        <v>0.92535153019024097</v>
      </c>
      <c r="J52">
        <v>0.90860215053763504</v>
      </c>
      <c r="K52">
        <v>0.89102564102564097</v>
      </c>
      <c r="L52">
        <v>0.87282878411910703</v>
      </c>
      <c r="M52">
        <v>0.85380479735318404</v>
      </c>
      <c r="N52">
        <v>0.83395368072787401</v>
      </c>
      <c r="O52">
        <v>0.81327543424317605</v>
      </c>
      <c r="P52">
        <v>0.79156327543424299</v>
      </c>
      <c r="Q52">
        <v>0.76902398676592199</v>
      </c>
      <c r="R52">
        <v>0.74565756823821405</v>
      </c>
      <c r="S52">
        <v>0.72125723738627001</v>
      </c>
      <c r="T52">
        <v>0.69582299421009097</v>
      </c>
      <c r="U52">
        <v>0.669561621174525</v>
      </c>
      <c r="V52">
        <v>0.64247311827956999</v>
      </c>
      <c r="W52">
        <v>0.61435070306038098</v>
      </c>
      <c r="X52">
        <v>0.58540115798180403</v>
      </c>
      <c r="Y52">
        <v>0.55562448304383805</v>
      </c>
      <c r="Z52">
        <v>0.52522746071133197</v>
      </c>
      <c r="AA52">
        <v>0.49421009098428498</v>
      </c>
      <c r="AB52">
        <v>0.46257237386269701</v>
      </c>
      <c r="AC52">
        <v>0.43072787427626202</v>
      </c>
      <c r="AD52">
        <v>0.39867659222497998</v>
      </c>
      <c r="AE52">
        <v>0.36641852770885103</v>
      </c>
      <c r="AF52">
        <v>0.33457402812241599</v>
      </c>
      <c r="AG52">
        <v>0.30293631100082702</v>
      </c>
      <c r="AH52">
        <v>0.27191894127378002</v>
      </c>
      <c r="AI52">
        <v>0.241935483870968</v>
      </c>
      <c r="AJ52">
        <v>0.212985938792391</v>
      </c>
      <c r="AK52">
        <v>0.18527708850289501</v>
      </c>
      <c r="AL52">
        <v>0.15922249793217599</v>
      </c>
      <c r="AM52">
        <v>0.13502894954507899</v>
      </c>
      <c r="AN52">
        <v>0.112903225806452</v>
      </c>
      <c r="AO52">
        <v>9.2845326716294599E-2</v>
      </c>
      <c r="AP52">
        <v>7.5062034739454206E-2</v>
      </c>
      <c r="AQ52">
        <v>5.9553349875930597E-2</v>
      </c>
      <c r="AR52">
        <v>4.6112489660876901E-2</v>
      </c>
      <c r="AS52">
        <v>3.4946236559139802E-2</v>
      </c>
      <c r="AT52">
        <v>2.5847808105872699E-2</v>
      </c>
      <c r="AU52">
        <v>1.86104218362283E-2</v>
      </c>
      <c r="AV52">
        <v>1.30272952853598E-2</v>
      </c>
      <c r="AW52">
        <v>8.4780810587262202E-3</v>
      </c>
      <c r="AX52">
        <v>5.3763440860215101E-3</v>
      </c>
      <c r="AY52">
        <v>2.48138957816377E-3</v>
      </c>
      <c r="AZ52">
        <v>1.0339123242349101E-3</v>
      </c>
      <c r="BA52">
        <v>6.2034739454094304E-4</v>
      </c>
      <c r="BB52">
        <v>2.06782464846981E-4</v>
      </c>
    </row>
    <row r="53" spans="1:57">
      <c r="A53">
        <v>49</v>
      </c>
      <c r="B53">
        <v>0.47689999999999999</v>
      </c>
      <c r="C53">
        <f t="shared" si="3"/>
        <v>9.6070392429299226E-2</v>
      </c>
      <c r="D53">
        <f t="shared" si="4"/>
        <v>-8</v>
      </c>
      <c r="E53">
        <v>0.98553155797861203</v>
      </c>
      <c r="F53">
        <v>0.97043405326064203</v>
      </c>
      <c r="G53">
        <v>0.95470748584609</v>
      </c>
      <c r="H53">
        <v>0.93835185573495605</v>
      </c>
      <c r="I53">
        <v>0.92136716292723897</v>
      </c>
      <c r="J53">
        <v>0.903543719857413</v>
      </c>
      <c r="K53">
        <v>0.885091214091004</v>
      </c>
      <c r="L53">
        <v>0.865799958062487</v>
      </c>
      <c r="M53">
        <v>0.84566995177186</v>
      </c>
      <c r="N53">
        <v>0.824701195219123</v>
      </c>
      <c r="O53">
        <v>0.80268400083875002</v>
      </c>
      <c r="P53">
        <v>0.77982805619626705</v>
      </c>
      <c r="Q53">
        <v>0.75613336129167596</v>
      </c>
      <c r="R53">
        <v>0.73139022855944702</v>
      </c>
      <c r="S53">
        <v>0.70559865799958099</v>
      </c>
      <c r="T53">
        <v>0.67896833717760596</v>
      </c>
      <c r="U53">
        <v>0.65149926609352105</v>
      </c>
      <c r="V53">
        <v>0.62298175718179905</v>
      </c>
      <c r="W53">
        <v>0.59362549800796904</v>
      </c>
      <c r="X53">
        <v>0.56343048857202804</v>
      </c>
      <c r="Y53">
        <v>0.53260641643950501</v>
      </c>
      <c r="Z53">
        <v>0.50115328161040096</v>
      </c>
      <c r="AA53">
        <v>0.46907108408471399</v>
      </c>
      <c r="AB53">
        <v>0.43677919899349998</v>
      </c>
      <c r="AC53">
        <v>0.40427762633675901</v>
      </c>
      <c r="AD53">
        <v>0.37156636611449001</v>
      </c>
      <c r="AE53">
        <v>0.33927448102327601</v>
      </c>
      <c r="AF53">
        <v>0.30719228349758898</v>
      </c>
      <c r="AG53">
        <v>0.27573914866848398</v>
      </c>
      <c r="AH53">
        <v>0.24533445166701601</v>
      </c>
      <c r="AI53">
        <v>0.21597819249318501</v>
      </c>
      <c r="AJ53">
        <v>0.187880058712519</v>
      </c>
      <c r="AK53">
        <v>0.161459425456071</v>
      </c>
      <c r="AL53">
        <v>0.136925980289369</v>
      </c>
      <c r="AM53">
        <v>0.114489410777941</v>
      </c>
      <c r="AN53">
        <v>9.4149716921786697E-2</v>
      </c>
      <c r="AO53">
        <v>7.6116586286433294E-2</v>
      </c>
      <c r="AP53">
        <v>6.0390018871881002E-2</v>
      </c>
      <c r="AQ53">
        <v>4.67603271126023E-2</v>
      </c>
      <c r="AR53">
        <v>3.5437198574124598E-2</v>
      </c>
      <c r="AS53">
        <v>2.6210945690920601E-2</v>
      </c>
      <c r="AT53">
        <v>1.8871880897462799E-2</v>
      </c>
      <c r="AU53">
        <v>1.3210316628224E-2</v>
      </c>
      <c r="AV53">
        <v>8.5971901866219395E-3</v>
      </c>
      <c r="AW53">
        <v>5.4518767037114698E-3</v>
      </c>
      <c r="AX53">
        <v>2.5162507863283699E-3</v>
      </c>
      <c r="AY53">
        <v>1.0484378276368199E-3</v>
      </c>
      <c r="AZ53">
        <v>6.2906269658209301E-4</v>
      </c>
      <c r="BA53">
        <v>2.0968756552736399E-4</v>
      </c>
      <c r="BB53">
        <v>0</v>
      </c>
    </row>
    <row r="54" spans="1:57">
      <c r="A54">
        <v>50</v>
      </c>
      <c r="B54">
        <v>0.47</v>
      </c>
      <c r="C54">
        <f t="shared" si="3"/>
        <v>9.4278302573934422E-2</v>
      </c>
      <c r="D54">
        <f t="shared" si="4"/>
        <v>-8</v>
      </c>
      <c r="E54">
        <v>0.98468085106382996</v>
      </c>
      <c r="F54">
        <v>0.968723404255319</v>
      </c>
      <c r="G54">
        <v>0.95212765957446799</v>
      </c>
      <c r="H54">
        <v>0.93489361702127705</v>
      </c>
      <c r="I54">
        <v>0.91680851063829805</v>
      </c>
      <c r="J54">
        <v>0.898085106382978</v>
      </c>
      <c r="K54">
        <v>0.87851063829787202</v>
      </c>
      <c r="L54">
        <v>0.85808510638297797</v>
      </c>
      <c r="M54">
        <v>0.83680851063829698</v>
      </c>
      <c r="N54">
        <v>0.81446808510638202</v>
      </c>
      <c r="O54">
        <v>0.79127659574468001</v>
      </c>
      <c r="P54">
        <v>0.76723404255319105</v>
      </c>
      <c r="Q54">
        <v>0.74212765957446802</v>
      </c>
      <c r="R54">
        <v>0.71595744680851103</v>
      </c>
      <c r="S54">
        <v>0.68893617021276599</v>
      </c>
      <c r="T54">
        <v>0.66106382978723399</v>
      </c>
      <c r="U54">
        <v>0.63212765957446804</v>
      </c>
      <c r="V54">
        <v>0.60234042553191502</v>
      </c>
      <c r="W54">
        <v>0.57170212765957495</v>
      </c>
      <c r="X54">
        <v>0.54042553191489395</v>
      </c>
      <c r="Y54">
        <v>0.50851063829787202</v>
      </c>
      <c r="Z54">
        <v>0.47595744680851099</v>
      </c>
      <c r="AA54">
        <v>0.443191489361702</v>
      </c>
      <c r="AB54">
        <v>0.41021276595744699</v>
      </c>
      <c r="AC54">
        <v>0.37702127659574503</v>
      </c>
      <c r="AD54">
        <v>0.34425531914893698</v>
      </c>
      <c r="AE54">
        <v>0.311702127659575</v>
      </c>
      <c r="AF54">
        <v>0.27978723404255301</v>
      </c>
      <c r="AG54">
        <v>0.24893617021276601</v>
      </c>
      <c r="AH54">
        <v>0.219148936170213</v>
      </c>
      <c r="AI54">
        <v>0.19063829787234099</v>
      </c>
      <c r="AJ54">
        <v>0.16382978723404301</v>
      </c>
      <c r="AK54">
        <v>0.138936170212766</v>
      </c>
      <c r="AL54">
        <v>0.116170212765958</v>
      </c>
      <c r="AM54">
        <v>9.5531914893617106E-2</v>
      </c>
      <c r="AN54">
        <v>7.7234042553191606E-2</v>
      </c>
      <c r="AO54">
        <v>6.1276595744680903E-2</v>
      </c>
      <c r="AP54">
        <v>4.74468085106384E-2</v>
      </c>
      <c r="AQ54">
        <v>3.59574468085107E-2</v>
      </c>
      <c r="AR54">
        <v>2.6595744680851099E-2</v>
      </c>
      <c r="AS54">
        <v>1.9148936170212801E-2</v>
      </c>
      <c r="AT54">
        <v>1.34042553191489E-2</v>
      </c>
      <c r="AU54">
        <v>8.7234042553191501E-3</v>
      </c>
      <c r="AV54">
        <v>5.5319148936170204E-3</v>
      </c>
      <c r="AW54">
        <v>2.5531914893616998E-3</v>
      </c>
      <c r="AX54">
        <v>1.06382978723404E-3</v>
      </c>
      <c r="AY54">
        <v>6.3829787234042604E-4</v>
      </c>
      <c r="AZ54">
        <v>2.12765957446809E-4</v>
      </c>
      <c r="BA54">
        <v>0</v>
      </c>
    </row>
    <row r="55" spans="1:57">
      <c r="A55">
        <v>51</v>
      </c>
      <c r="B55">
        <v>0.46279999999999999</v>
      </c>
      <c r="C55">
        <f t="shared" si="3"/>
        <v>9.2356125938665476E-2</v>
      </c>
      <c r="D55">
        <f t="shared" si="4"/>
        <v>-8</v>
      </c>
      <c r="E55">
        <v>0.98379429559204801</v>
      </c>
      <c r="F55">
        <v>0.96694036300777897</v>
      </c>
      <c r="G55">
        <v>0.949438202247191</v>
      </c>
      <c r="H55">
        <v>0.93107173725151204</v>
      </c>
      <c r="I55">
        <v>0.91205704407951504</v>
      </c>
      <c r="J55">
        <v>0.89217804667242795</v>
      </c>
      <c r="K55">
        <v>0.87143474503024998</v>
      </c>
      <c r="L55">
        <v>0.84982713915298103</v>
      </c>
      <c r="M55">
        <v>0.82713915298184904</v>
      </c>
      <c r="N55">
        <v>0.80358686257562595</v>
      </c>
      <c r="O55">
        <v>0.77917026793431199</v>
      </c>
      <c r="P55">
        <v>0.75367329299913499</v>
      </c>
      <c r="Q55">
        <v>0.72709593777009496</v>
      </c>
      <c r="R55">
        <v>0.69965427830596405</v>
      </c>
      <c r="S55">
        <v>0.67134831460674205</v>
      </c>
      <c r="T55">
        <v>0.64196197061365601</v>
      </c>
      <c r="U55">
        <v>0.61171132238547998</v>
      </c>
      <c r="V55">
        <v>0.58059636992221297</v>
      </c>
      <c r="W55">
        <v>0.54883318928262703</v>
      </c>
      <c r="X55">
        <v>0.51642178046672405</v>
      </c>
      <c r="Y55">
        <v>0.48336214347450301</v>
      </c>
      <c r="Z55">
        <v>0.45008643042350899</v>
      </c>
      <c r="AA55">
        <v>0.41659464131374302</v>
      </c>
      <c r="AB55">
        <v>0.382886776145203</v>
      </c>
      <c r="AC55">
        <v>0.34961106309420997</v>
      </c>
      <c r="AD55">
        <v>0.316551426101988</v>
      </c>
      <c r="AE55">
        <v>0.28414001728608501</v>
      </c>
      <c r="AF55">
        <v>0.25280898876404501</v>
      </c>
      <c r="AG55">
        <v>0.22255834053586901</v>
      </c>
      <c r="AH55">
        <v>0.19360414866032899</v>
      </c>
      <c r="AI55">
        <v>0.16637856525497</v>
      </c>
      <c r="AJ55">
        <v>0.141097666378565</v>
      </c>
      <c r="AK55">
        <v>0.117977528089888</v>
      </c>
      <c r="AL55">
        <v>9.7018150388937005E-2</v>
      </c>
      <c r="AM55">
        <v>7.8435609334485804E-2</v>
      </c>
      <c r="AN55">
        <v>6.2229904926534199E-2</v>
      </c>
      <c r="AO55">
        <v>4.8184961106309501E-2</v>
      </c>
      <c r="AP55">
        <v>3.6516853932584303E-2</v>
      </c>
      <c r="AQ55">
        <v>2.7009507346586002E-2</v>
      </c>
      <c r="AR55">
        <v>1.9446845289541902E-2</v>
      </c>
      <c r="AS55">
        <v>1.3612791702679299E-2</v>
      </c>
      <c r="AT55">
        <v>8.8591184096802108E-3</v>
      </c>
      <c r="AU55">
        <v>5.6179775280898901E-3</v>
      </c>
      <c r="AV55">
        <v>2.5929127052722501E-3</v>
      </c>
      <c r="AW55">
        <v>1.08038029386344E-3</v>
      </c>
      <c r="AX55">
        <v>6.4822817631806403E-4</v>
      </c>
      <c r="AY55">
        <v>2.1607605877268799E-4</v>
      </c>
      <c r="AZ55">
        <v>0</v>
      </c>
    </row>
    <row r="56" spans="1:57">
      <c r="A56">
        <v>52</v>
      </c>
      <c r="B56">
        <v>0.45529999999999998</v>
      </c>
      <c r="C56">
        <f t="shared" si="3"/>
        <v>9.028894139717604E-2</v>
      </c>
      <c r="D56">
        <f t="shared" si="4"/>
        <v>-8</v>
      </c>
      <c r="E56">
        <v>0.98286843839226901</v>
      </c>
      <c r="F56">
        <v>0.96507797056885503</v>
      </c>
      <c r="G56">
        <v>0.94640896112453299</v>
      </c>
      <c r="H56">
        <v>0.92708104546452796</v>
      </c>
      <c r="I56">
        <v>0.90687458818361499</v>
      </c>
      <c r="J56">
        <v>0.88578958928179097</v>
      </c>
      <c r="K56">
        <v>0.863826048759059</v>
      </c>
      <c r="L56">
        <v>0.84076433121019001</v>
      </c>
      <c r="M56">
        <v>0.81682407204041196</v>
      </c>
      <c r="N56">
        <v>0.79200527124972497</v>
      </c>
      <c r="O56">
        <v>0.76608829343290097</v>
      </c>
      <c r="P56">
        <v>0.73907313858993995</v>
      </c>
      <c r="Q56">
        <v>0.71117944212607098</v>
      </c>
      <c r="R56">
        <v>0.68240720404129096</v>
      </c>
      <c r="S56">
        <v>0.65253678893037503</v>
      </c>
      <c r="T56">
        <v>0.62178783219855005</v>
      </c>
      <c r="U56">
        <v>0.59016033384581601</v>
      </c>
      <c r="V56">
        <v>0.55787392927739898</v>
      </c>
      <c r="W56">
        <v>0.52492861849330097</v>
      </c>
      <c r="X56">
        <v>0.49132440149352102</v>
      </c>
      <c r="Y56">
        <v>0.45750054908851301</v>
      </c>
      <c r="Z56">
        <v>0.42345706127827798</v>
      </c>
      <c r="AA56">
        <v>0.38919393806281599</v>
      </c>
      <c r="AB56">
        <v>0.35537008565780798</v>
      </c>
      <c r="AC56">
        <v>0.32176586865802798</v>
      </c>
      <c r="AD56">
        <v>0.28882055787392902</v>
      </c>
      <c r="AE56">
        <v>0.25697342411596702</v>
      </c>
      <c r="AF56">
        <v>0.22622446738414201</v>
      </c>
      <c r="AG56">
        <v>0.196793323083681</v>
      </c>
      <c r="AH56">
        <v>0.16911926202503799</v>
      </c>
      <c r="AI56">
        <v>0.143421919613442</v>
      </c>
      <c r="AJ56">
        <v>0.119920931254118</v>
      </c>
      <c r="AK56">
        <v>9.8616296947067902E-2</v>
      </c>
      <c r="AL56">
        <v>7.9727652097518198E-2</v>
      </c>
      <c r="AM56">
        <v>6.3254996705468997E-2</v>
      </c>
      <c r="AN56">
        <v>4.8978695365692999E-2</v>
      </c>
      <c r="AO56">
        <v>3.7118383483417602E-2</v>
      </c>
      <c r="AP56">
        <v>2.7454425653415399E-2</v>
      </c>
      <c r="AQ56">
        <v>1.9767186470459001E-2</v>
      </c>
      <c r="AR56">
        <v>1.38370305293213E-2</v>
      </c>
      <c r="AS56">
        <v>9.0050516143202301E-3</v>
      </c>
      <c r="AT56">
        <v>5.71052053591039E-3</v>
      </c>
      <c r="AU56">
        <v>2.6356248627278701E-3</v>
      </c>
      <c r="AV56">
        <v>1.0981770261366099E-3</v>
      </c>
      <c r="AW56">
        <v>6.5890621568196796E-4</v>
      </c>
      <c r="AX56">
        <v>2.19635405227323E-4</v>
      </c>
      <c r="AY56">
        <v>0</v>
      </c>
    </row>
    <row r="57" spans="1:57">
      <c r="A57">
        <v>53</v>
      </c>
      <c r="B57">
        <v>0.44750000000000001</v>
      </c>
      <c r="C57">
        <f t="shared" si="3"/>
        <v>8.8059919130898986E-2</v>
      </c>
      <c r="D57">
        <f t="shared" si="4"/>
        <v>-8</v>
      </c>
      <c r="E57">
        <v>0.981899441340782</v>
      </c>
      <c r="F57">
        <v>0.96290502793296096</v>
      </c>
      <c r="G57">
        <v>0.94324022346368697</v>
      </c>
      <c r="H57">
        <v>0.92268156424581005</v>
      </c>
      <c r="I57">
        <v>0.90122905027932898</v>
      </c>
      <c r="J57">
        <v>0.87888268156424498</v>
      </c>
      <c r="K57">
        <v>0.85541899441340696</v>
      </c>
      <c r="L57">
        <v>0.83106145251396601</v>
      </c>
      <c r="M57">
        <v>0.80581005586592203</v>
      </c>
      <c r="N57">
        <v>0.77944134078212302</v>
      </c>
      <c r="O57">
        <v>0.75195530726256998</v>
      </c>
      <c r="P57">
        <v>0.72357541899441402</v>
      </c>
      <c r="Q57">
        <v>0.69430167597765402</v>
      </c>
      <c r="R57">
        <v>0.66391061452514</v>
      </c>
      <c r="S57">
        <v>0.63262569832402304</v>
      </c>
      <c r="T57">
        <v>0.60044692737430205</v>
      </c>
      <c r="U57">
        <v>0.567597765363129</v>
      </c>
      <c r="V57">
        <v>0.53407821229050301</v>
      </c>
      <c r="W57">
        <v>0.49988826815642501</v>
      </c>
      <c r="X57">
        <v>0.46547486033519597</v>
      </c>
      <c r="Y57">
        <v>0.43083798882681601</v>
      </c>
      <c r="Z57">
        <v>0.39597765363128501</v>
      </c>
      <c r="AA57">
        <v>0.36156424581005597</v>
      </c>
      <c r="AB57">
        <v>0.32737430167597797</v>
      </c>
      <c r="AC57">
        <v>0.29385474860335198</v>
      </c>
      <c r="AD57">
        <v>0.261452513966481</v>
      </c>
      <c r="AE57">
        <v>0.230167597765363</v>
      </c>
      <c r="AF57">
        <v>0.20022346368715099</v>
      </c>
      <c r="AG57">
        <v>0.17206703910614499</v>
      </c>
      <c r="AH57">
        <v>0.14592178770949699</v>
      </c>
      <c r="AI57">
        <v>0.122011173184358</v>
      </c>
      <c r="AJ57">
        <v>0.10033519553072601</v>
      </c>
      <c r="AK57">
        <v>8.1117318435754301E-2</v>
      </c>
      <c r="AL57">
        <v>6.4357541899441401E-2</v>
      </c>
      <c r="AM57">
        <v>4.9832402234637002E-2</v>
      </c>
      <c r="AN57">
        <v>3.77653631284917E-2</v>
      </c>
      <c r="AO57">
        <v>2.7932960893854799E-2</v>
      </c>
      <c r="AP57">
        <v>2.0111731843575401E-2</v>
      </c>
      <c r="AQ57">
        <v>1.40782122905028E-2</v>
      </c>
      <c r="AR57">
        <v>9.1620111731843604E-3</v>
      </c>
      <c r="AS57">
        <v>5.8100558659217897E-3</v>
      </c>
      <c r="AT57">
        <v>2.6815642458100598E-3</v>
      </c>
      <c r="AU57">
        <v>1.1173184357541901E-3</v>
      </c>
      <c r="AV57">
        <v>6.7039106145251495E-4</v>
      </c>
      <c r="AW57">
        <v>2.2346368715083799E-4</v>
      </c>
      <c r="AX57">
        <v>0</v>
      </c>
    </row>
    <row r="58" spans="1:57">
      <c r="A58">
        <v>54</v>
      </c>
      <c r="B58">
        <v>0.43940000000000001</v>
      </c>
      <c r="C58">
        <f t="shared" si="3"/>
        <v>8.5650080097093684E-2</v>
      </c>
      <c r="D58">
        <f t="shared" si="4"/>
        <v>-8</v>
      </c>
      <c r="E58">
        <v>0.98065543923532095</v>
      </c>
      <c r="F58">
        <v>0.960628129267182</v>
      </c>
      <c r="G58">
        <v>0.93969048702776503</v>
      </c>
      <c r="H58">
        <v>0.91784251251706805</v>
      </c>
      <c r="I58">
        <v>0.89508420573509295</v>
      </c>
      <c r="J58">
        <v>0.87118798361401795</v>
      </c>
      <c r="K58">
        <v>0.84638142922166504</v>
      </c>
      <c r="L58">
        <v>0.820664542558034</v>
      </c>
      <c r="M58">
        <v>0.79380974055530296</v>
      </c>
      <c r="N58">
        <v>0.765817023213473</v>
      </c>
      <c r="O58">
        <v>0.73691397360036404</v>
      </c>
      <c r="P58">
        <v>0.70710059171597694</v>
      </c>
      <c r="Q58">
        <v>0.67614929449248995</v>
      </c>
      <c r="R58">
        <v>0.64428766499772505</v>
      </c>
      <c r="S58">
        <v>0.61151570323168003</v>
      </c>
      <c r="T58">
        <v>0.578060992262176</v>
      </c>
      <c r="U58">
        <v>0.54392353208921296</v>
      </c>
      <c r="V58">
        <v>0.50910332271279002</v>
      </c>
      <c r="W58">
        <v>0.47405553026854802</v>
      </c>
      <c r="X58">
        <v>0.43878015475648602</v>
      </c>
      <c r="Y58">
        <v>0.40327719617660501</v>
      </c>
      <c r="Z58">
        <v>0.36822940373236301</v>
      </c>
      <c r="AA58">
        <v>0.33340919435594002</v>
      </c>
      <c r="AB58">
        <v>0.29927173418297698</v>
      </c>
      <c r="AC58">
        <v>0.26627218934911301</v>
      </c>
      <c r="AD58">
        <v>0.234410559854347</v>
      </c>
      <c r="AE58">
        <v>0.20391442876650001</v>
      </c>
      <c r="AF58">
        <v>0.17523896222121099</v>
      </c>
      <c r="AG58">
        <v>0.1486117432863</v>
      </c>
      <c r="AH58">
        <v>0.124260355029586</v>
      </c>
      <c r="AI58">
        <v>0.10218479745106999</v>
      </c>
      <c r="AJ58">
        <v>8.2612653618570897E-2</v>
      </c>
      <c r="AK58">
        <v>6.5543923532089293E-2</v>
      </c>
      <c r="AL58">
        <v>5.0751024123805298E-2</v>
      </c>
      <c r="AM58">
        <v>3.8461538461538498E-2</v>
      </c>
      <c r="AN58">
        <v>2.84478834774693E-2</v>
      </c>
      <c r="AO58">
        <v>2.0482476103777899E-2</v>
      </c>
      <c r="AP58">
        <v>1.4337733272644501E-2</v>
      </c>
      <c r="AQ58">
        <v>9.3309057806099296E-3</v>
      </c>
      <c r="AR58">
        <v>5.9171597633136102E-3</v>
      </c>
      <c r="AS58">
        <v>2.7309968138370501E-3</v>
      </c>
      <c r="AT58">
        <v>1.1379153390987701E-3</v>
      </c>
      <c r="AU58">
        <v>6.8274920345926297E-4</v>
      </c>
      <c r="AV58">
        <v>2.27583067819754E-4</v>
      </c>
      <c r="AW58">
        <v>0</v>
      </c>
    </row>
    <row r="59" spans="1:57">
      <c r="A59">
        <v>55</v>
      </c>
      <c r="B59">
        <v>0.43090000000000001</v>
      </c>
      <c r="C59">
        <f t="shared" si="3"/>
        <v>8.3074924983116694E-2</v>
      </c>
      <c r="D59">
        <f t="shared" si="4"/>
        <v>-8</v>
      </c>
      <c r="E59">
        <v>0.97957762822000505</v>
      </c>
      <c r="F59">
        <v>0.95822696681364605</v>
      </c>
      <c r="G59">
        <v>0.93594801578092301</v>
      </c>
      <c r="H59">
        <v>0.91274077512183804</v>
      </c>
      <c r="I59">
        <v>0.88837317242979796</v>
      </c>
      <c r="J59">
        <v>0.86307728011139495</v>
      </c>
      <c r="K59">
        <v>0.83685309816662801</v>
      </c>
      <c r="L59">
        <v>0.80946855418890695</v>
      </c>
      <c r="M59">
        <v>0.78092364817823201</v>
      </c>
      <c r="N59">
        <v>0.75145045254119303</v>
      </c>
      <c r="O59">
        <v>0.721048967277791</v>
      </c>
      <c r="P59">
        <v>0.68948711998143497</v>
      </c>
      <c r="Q59">
        <v>0.65699698305871501</v>
      </c>
      <c r="R59">
        <v>0.62357855650963101</v>
      </c>
      <c r="S59">
        <v>0.58946391274077503</v>
      </c>
      <c r="T59">
        <v>0.55465305175214696</v>
      </c>
      <c r="U59">
        <v>0.51914597354374603</v>
      </c>
      <c r="V59">
        <v>0.48340682292875398</v>
      </c>
      <c r="W59">
        <v>0.44743559990717102</v>
      </c>
      <c r="X59">
        <v>0.411232304478998</v>
      </c>
      <c r="Y59">
        <v>0.375493153864006</v>
      </c>
      <c r="Z59">
        <v>0.33998607565560501</v>
      </c>
      <c r="AA59">
        <v>0.305175214666977</v>
      </c>
      <c r="AB59">
        <v>0.27152471571130199</v>
      </c>
      <c r="AC59">
        <v>0.239034578788582</v>
      </c>
      <c r="AD59">
        <v>0.207936876305408</v>
      </c>
      <c r="AE59">
        <v>0.17869575307496</v>
      </c>
      <c r="AF59">
        <v>0.15154328150382901</v>
      </c>
      <c r="AG59">
        <v>0.12671153399860799</v>
      </c>
      <c r="AH59">
        <v>0.104200510559295</v>
      </c>
      <c r="AI59">
        <v>8.4242283592480996E-2</v>
      </c>
      <c r="AJ59">
        <v>6.6836853098166699E-2</v>
      </c>
      <c r="AK59">
        <v>5.17521466697611E-2</v>
      </c>
      <c r="AL59">
        <v>3.92202367138548E-2</v>
      </c>
      <c r="AM59">
        <v>2.9009050823857099E-2</v>
      </c>
      <c r="AN59">
        <v>2.0886516593177099E-2</v>
      </c>
      <c r="AO59">
        <v>1.4620561615223999E-2</v>
      </c>
      <c r="AP59">
        <v>9.5149686702251206E-3</v>
      </c>
      <c r="AQ59">
        <v>6.03388257136227E-3</v>
      </c>
      <c r="AR59">
        <v>2.78486887909028E-3</v>
      </c>
      <c r="AS59">
        <v>1.16036203295428E-3</v>
      </c>
      <c r="AT59">
        <v>6.9621721977256999E-4</v>
      </c>
      <c r="AU59">
        <v>2.3207240659085701E-4</v>
      </c>
      <c r="AV59">
        <v>0</v>
      </c>
    </row>
    <row r="60" spans="1:57">
      <c r="A60">
        <v>56</v>
      </c>
      <c r="B60">
        <v>0.42209999999999998</v>
      </c>
      <c r="C60">
        <f t="shared" si="3"/>
        <v>8.0279943953651026E-2</v>
      </c>
      <c r="D60">
        <f t="shared" si="4"/>
        <v>-8</v>
      </c>
      <c r="E60">
        <v>0.978204217010187</v>
      </c>
      <c r="F60">
        <v>0.95546079128168604</v>
      </c>
      <c r="G60">
        <v>0.93176972281449899</v>
      </c>
      <c r="H60">
        <v>0.90689410092395095</v>
      </c>
      <c r="I60">
        <v>0.88107083629471705</v>
      </c>
      <c r="J60">
        <v>0.85429992892679496</v>
      </c>
      <c r="K60">
        <v>0.82634446813551299</v>
      </c>
      <c r="L60">
        <v>0.79720445392087202</v>
      </c>
      <c r="M60">
        <v>0.76711679696754398</v>
      </c>
      <c r="N60">
        <v>0.73608149727552796</v>
      </c>
      <c r="O60">
        <v>0.70386164416015196</v>
      </c>
      <c r="P60">
        <v>0.67069414830608898</v>
      </c>
      <c r="Q60">
        <v>0.63657900971333903</v>
      </c>
      <c r="R60">
        <v>0.60175313906657202</v>
      </c>
      <c r="S60">
        <v>0.56621653636578995</v>
      </c>
      <c r="T60">
        <v>0.52996920161099303</v>
      </c>
      <c r="U60">
        <v>0.49348495617152399</v>
      </c>
      <c r="V60">
        <v>0.45676380004738298</v>
      </c>
      <c r="W60">
        <v>0.41980573323857001</v>
      </c>
      <c r="X60">
        <v>0.38332148779910002</v>
      </c>
      <c r="Y60">
        <v>0.347074153044303</v>
      </c>
      <c r="Z60">
        <v>0.31153755034352099</v>
      </c>
      <c r="AA60">
        <v>0.27718550106609802</v>
      </c>
      <c r="AB60">
        <v>0.24401800521203501</v>
      </c>
      <c r="AC60">
        <v>0.21227197346600399</v>
      </c>
      <c r="AD60">
        <v>0.18242122719734699</v>
      </c>
      <c r="AE60">
        <v>0.15470267709073701</v>
      </c>
      <c r="AF60">
        <v>0.12935323383084599</v>
      </c>
      <c r="AG60">
        <v>0.106372897417674</v>
      </c>
      <c r="AH60">
        <v>8.5998578535892101E-2</v>
      </c>
      <c r="AI60">
        <v>6.8230277185501204E-2</v>
      </c>
      <c r="AJ60">
        <v>5.2831082681829102E-2</v>
      </c>
      <c r="AK60">
        <v>4.00379057095476E-2</v>
      </c>
      <c r="AL60">
        <v>2.96138355839849E-2</v>
      </c>
      <c r="AM60">
        <v>2.13219616204691E-2</v>
      </c>
      <c r="AN60">
        <v>1.49253731343284E-2</v>
      </c>
      <c r="AO60">
        <v>9.7133380715470393E-3</v>
      </c>
      <c r="AP60">
        <v>6.1596778014688502E-3</v>
      </c>
      <c r="AQ60">
        <v>2.84292821606255E-3</v>
      </c>
      <c r="AR60">
        <v>1.1845534233593999E-3</v>
      </c>
      <c r="AS60">
        <v>7.1073205401563696E-4</v>
      </c>
      <c r="AT60">
        <v>2.3691068467187901E-4</v>
      </c>
      <c r="AU60">
        <v>0</v>
      </c>
    </row>
    <row r="61" spans="1:57">
      <c r="A61">
        <v>57</v>
      </c>
      <c r="B61">
        <v>0.41289999999999999</v>
      </c>
      <c r="C61">
        <f t="shared" si="3"/>
        <v>7.7277891627376361E-2</v>
      </c>
      <c r="D61">
        <f t="shared" si="4"/>
        <v>-8</v>
      </c>
      <c r="E61">
        <v>0.97674981835795605</v>
      </c>
      <c r="F61">
        <v>0.95253087914749301</v>
      </c>
      <c r="G61">
        <v>0.92710099297650705</v>
      </c>
      <c r="H61">
        <v>0.90070234923710302</v>
      </c>
      <c r="I61">
        <v>0.87333494792928101</v>
      </c>
      <c r="J61">
        <v>0.84475659966093497</v>
      </c>
      <c r="K61">
        <v>0.814967304432066</v>
      </c>
      <c r="L61">
        <v>0.78420925163477895</v>
      </c>
      <c r="M61">
        <v>0.75248244126907304</v>
      </c>
      <c r="N61">
        <v>0.71954468394284399</v>
      </c>
      <c r="O61">
        <v>0.68563816904819697</v>
      </c>
      <c r="P61">
        <v>0.65076289658512998</v>
      </c>
      <c r="Q61">
        <v>0.61516105594574999</v>
      </c>
      <c r="R61">
        <v>0.578832647130056</v>
      </c>
      <c r="S61">
        <v>0.54177767013804801</v>
      </c>
      <c r="T61">
        <v>0.50448050375393605</v>
      </c>
      <c r="U61">
        <v>0.46694114797771902</v>
      </c>
      <c r="V61">
        <v>0.42915960280939802</v>
      </c>
      <c r="W61">
        <v>0.39186243642528501</v>
      </c>
      <c r="X61">
        <v>0.35480745943327702</v>
      </c>
      <c r="Y61">
        <v>0.31847905061758403</v>
      </c>
      <c r="Z61">
        <v>0.28336158876241302</v>
      </c>
      <c r="AA61">
        <v>0.249455073867765</v>
      </c>
      <c r="AB61">
        <v>0.21700169532574501</v>
      </c>
      <c r="AC61">
        <v>0.18648583192056201</v>
      </c>
      <c r="AD61">
        <v>0.15814967304432101</v>
      </c>
      <c r="AE61">
        <v>0.13223540808912601</v>
      </c>
      <c r="AF61">
        <v>0.108743037054977</v>
      </c>
      <c r="AG61">
        <v>8.7914749333979303E-2</v>
      </c>
      <c r="AH61">
        <v>6.9750544926132405E-2</v>
      </c>
      <c r="AI61">
        <v>5.4008234439331698E-2</v>
      </c>
      <c r="AJ61">
        <v>4.09300072656818E-2</v>
      </c>
      <c r="AK61">
        <v>3.0273674013078299E-2</v>
      </c>
      <c r="AL61">
        <v>2.1797045289416402E-2</v>
      </c>
      <c r="AM61">
        <v>1.5257931702591499E-2</v>
      </c>
      <c r="AN61">
        <v>9.9297650762896691E-3</v>
      </c>
      <c r="AO61">
        <v>6.2969241947202796E-3</v>
      </c>
      <c r="AP61">
        <v>2.9062727052555099E-3</v>
      </c>
      <c r="AQ61">
        <v>1.2109469605231301E-3</v>
      </c>
      <c r="AR61">
        <v>7.26568176313879E-4</v>
      </c>
      <c r="AS61">
        <v>2.42189392104626E-4</v>
      </c>
      <c r="AT61">
        <v>0</v>
      </c>
    </row>
    <row r="62" spans="1:57">
      <c r="A62">
        <v>58</v>
      </c>
      <c r="B62">
        <v>0.40329999999999999</v>
      </c>
      <c r="C62">
        <f t="shared" si="3"/>
        <v>7.4047590824381587E-2</v>
      </c>
      <c r="D62">
        <f t="shared" si="4"/>
        <v>-8</v>
      </c>
      <c r="E62">
        <v>0.97520456236052599</v>
      </c>
      <c r="F62">
        <v>0.949169352839077</v>
      </c>
      <c r="G62">
        <v>0.92214232581205102</v>
      </c>
      <c r="H62">
        <v>0.89412348127944496</v>
      </c>
      <c r="I62">
        <v>0.86486486486486502</v>
      </c>
      <c r="J62">
        <v>0.83436647656831198</v>
      </c>
      <c r="K62">
        <v>0.80287627076617996</v>
      </c>
      <c r="L62">
        <v>0.77039424745846896</v>
      </c>
      <c r="M62">
        <v>0.73667245226878297</v>
      </c>
      <c r="N62">
        <v>0.70195883957351901</v>
      </c>
      <c r="O62">
        <v>0.66625340937267596</v>
      </c>
      <c r="P62">
        <v>0.62980411604264896</v>
      </c>
      <c r="Q62">
        <v>0.59261095958343701</v>
      </c>
      <c r="R62">
        <v>0.554673939995041</v>
      </c>
      <c r="S62">
        <v>0.51648896603025096</v>
      </c>
      <c r="T62">
        <v>0.47805603768906602</v>
      </c>
      <c r="U62">
        <v>0.43937515497148599</v>
      </c>
      <c r="V62">
        <v>0.40119018100669601</v>
      </c>
      <c r="W62">
        <v>0.3632531614183</v>
      </c>
      <c r="X62">
        <v>0.32606000495908799</v>
      </c>
      <c r="Y62">
        <v>0.29010662038184998</v>
      </c>
      <c r="Z62">
        <v>0.25539300768658602</v>
      </c>
      <c r="AA62">
        <v>0.22216712124969001</v>
      </c>
      <c r="AB62">
        <v>0.19092486982395299</v>
      </c>
      <c r="AC62">
        <v>0.16191420778576801</v>
      </c>
      <c r="AD62">
        <v>0.13538308951153</v>
      </c>
      <c r="AE62">
        <v>0.11133151500124</v>
      </c>
      <c r="AF62">
        <v>9.0007438631292E-2</v>
      </c>
      <c r="AG62">
        <v>7.1410860401686205E-2</v>
      </c>
      <c r="AH62">
        <v>5.5293825936027899E-2</v>
      </c>
      <c r="AI62">
        <v>4.1904289610711701E-2</v>
      </c>
      <c r="AJ62">
        <v>3.0994297049342999E-2</v>
      </c>
      <c r="AK62">
        <v>2.2315893875526901E-2</v>
      </c>
      <c r="AL62">
        <v>1.5621125712868901E-2</v>
      </c>
      <c r="AM62">
        <v>1.0166129432184499E-2</v>
      </c>
      <c r="AN62">
        <v>6.44681378626334E-3</v>
      </c>
      <c r="AO62">
        <v>2.9754525167369201E-3</v>
      </c>
      <c r="AP62">
        <v>1.2397718819737199E-3</v>
      </c>
      <c r="AQ62">
        <v>7.4386312918423101E-4</v>
      </c>
      <c r="AR62">
        <v>2.4795437639474398E-4</v>
      </c>
      <c r="AS62">
        <v>0</v>
      </c>
    </row>
    <row r="63" spans="1:57">
      <c r="A63">
        <v>59</v>
      </c>
      <c r="B63">
        <v>0.39329999999999998</v>
      </c>
      <c r="C63">
        <f t="shared" ref="C63:C81" si="5">IRR(D63:CY63,0.08)</f>
        <v>7.056582247803618E-2</v>
      </c>
      <c r="D63">
        <f t="shared" si="4"/>
        <v>-8</v>
      </c>
      <c r="E63">
        <v>0.97330282227307396</v>
      </c>
      <c r="F63">
        <v>0.94558860920416998</v>
      </c>
      <c r="G63">
        <v>0.91685736079328795</v>
      </c>
      <c r="H63">
        <v>0.88685481820493295</v>
      </c>
      <c r="I63">
        <v>0.85558098143910599</v>
      </c>
      <c r="J63">
        <v>0.82329010933129998</v>
      </c>
      <c r="K63">
        <v>0.78998220188151602</v>
      </c>
      <c r="L63">
        <v>0.75540300025425899</v>
      </c>
      <c r="M63">
        <v>0.71980676328502502</v>
      </c>
      <c r="N63">
        <v>0.68319349097381199</v>
      </c>
      <c r="O63">
        <v>0.64581744215611503</v>
      </c>
      <c r="P63">
        <v>0.60767861683193503</v>
      </c>
      <c r="Q63">
        <v>0.56877701500127198</v>
      </c>
      <c r="R63">
        <v>0.52962115433511403</v>
      </c>
      <c r="S63">
        <v>0.49021103483346101</v>
      </c>
      <c r="T63">
        <v>0.45054665649631398</v>
      </c>
      <c r="U63">
        <v>0.41139079583015598</v>
      </c>
      <c r="V63">
        <v>0.37248919399949199</v>
      </c>
      <c r="W63">
        <v>0.33435036867531198</v>
      </c>
      <c r="X63">
        <v>0.29748283752860399</v>
      </c>
      <c r="Y63">
        <v>0.26188660055937002</v>
      </c>
      <c r="Z63">
        <v>0.22781591660310199</v>
      </c>
      <c r="AA63">
        <v>0.19577930333079099</v>
      </c>
      <c r="AB63">
        <v>0.16603101957793101</v>
      </c>
      <c r="AC63">
        <v>0.138825324180016</v>
      </c>
      <c r="AD63">
        <v>0.114162217137046</v>
      </c>
      <c r="AE63">
        <v>9.2295957284515798E-2</v>
      </c>
      <c r="AF63">
        <v>7.3226544622425796E-2</v>
      </c>
      <c r="AG63">
        <v>5.6699720315281102E-2</v>
      </c>
      <c r="AH63">
        <v>4.2969743198576202E-2</v>
      </c>
      <c r="AI63">
        <v>3.17823544368167E-2</v>
      </c>
      <c r="AJ63">
        <v>2.2883295194508099E-2</v>
      </c>
      <c r="AK63">
        <v>1.60183066361556E-2</v>
      </c>
      <c r="AL63">
        <v>1.0424612255275899E-2</v>
      </c>
      <c r="AM63">
        <v>6.6107297228578804E-3</v>
      </c>
      <c r="AN63">
        <v>3.0511060259344001E-3</v>
      </c>
      <c r="AO63">
        <v>1.2712941774726701E-3</v>
      </c>
      <c r="AP63">
        <v>7.6277650648360197E-4</v>
      </c>
      <c r="AQ63">
        <v>2.5425883549453401E-4</v>
      </c>
      <c r="AR63">
        <v>0</v>
      </c>
    </row>
    <row r="64" spans="1:57">
      <c r="A64">
        <v>60</v>
      </c>
      <c r="B64">
        <v>0.38279999999999997</v>
      </c>
      <c r="C64">
        <f t="shared" si="5"/>
        <v>6.6849846946344424E-2</v>
      </c>
      <c r="D64">
        <f t="shared" si="4"/>
        <v>-8</v>
      </c>
      <c r="E64">
        <v>0.97152560083594597</v>
      </c>
      <c r="F64">
        <v>0.94200626959247702</v>
      </c>
      <c r="G64">
        <v>0.91118077324973901</v>
      </c>
      <c r="H64">
        <v>0.87904911180773304</v>
      </c>
      <c r="I64">
        <v>0.84587251828631205</v>
      </c>
      <c r="J64">
        <v>0.81165099268547602</v>
      </c>
      <c r="K64">
        <v>0.77612330198537105</v>
      </c>
      <c r="L64">
        <v>0.73955067920585205</v>
      </c>
      <c r="M64">
        <v>0.70193312434691801</v>
      </c>
      <c r="N64">
        <v>0.66353187042842299</v>
      </c>
      <c r="O64">
        <v>0.62434691745036597</v>
      </c>
      <c r="P64">
        <v>0.58437826541274895</v>
      </c>
      <c r="Q64">
        <v>0.54414838035527702</v>
      </c>
      <c r="R64">
        <v>0.50365726227795304</v>
      </c>
      <c r="S64">
        <v>0.46290491118077398</v>
      </c>
      <c r="T64">
        <v>0.42267502612330299</v>
      </c>
      <c r="U64">
        <v>0.38270637408568497</v>
      </c>
      <c r="V64">
        <v>0.34352142110762901</v>
      </c>
      <c r="W64">
        <v>0.30564263322884</v>
      </c>
      <c r="X64">
        <v>0.269070010449321</v>
      </c>
      <c r="Y64">
        <v>0.23406478578892401</v>
      </c>
      <c r="Z64">
        <v>0.20114942528735699</v>
      </c>
      <c r="AA64">
        <v>0.17058516196447299</v>
      </c>
      <c r="AB64">
        <v>0.142633228840126</v>
      </c>
      <c r="AC64">
        <v>0.117293625914316</v>
      </c>
      <c r="AD64">
        <v>9.48275862068967E-2</v>
      </c>
      <c r="AE64">
        <v>7.5235109717868495E-2</v>
      </c>
      <c r="AF64">
        <v>5.8254963427377397E-2</v>
      </c>
      <c r="AG64">
        <v>4.4148380355277003E-2</v>
      </c>
      <c r="AH64">
        <v>3.2654127481713799E-2</v>
      </c>
      <c r="AI64">
        <v>2.3510971786833899E-2</v>
      </c>
      <c r="AJ64">
        <v>1.6457680250783702E-2</v>
      </c>
      <c r="AK64">
        <v>1.0710553814002099E-2</v>
      </c>
      <c r="AL64">
        <v>6.7920585161964598E-3</v>
      </c>
      <c r="AM64">
        <v>3.1347962382445201E-3</v>
      </c>
      <c r="AN64">
        <v>1.30616509926855E-3</v>
      </c>
      <c r="AO64">
        <v>7.8369905956113001E-4</v>
      </c>
      <c r="AP64">
        <v>2.6123301985371002E-4</v>
      </c>
      <c r="AQ64">
        <v>0</v>
      </c>
    </row>
    <row r="65" spans="1:42">
      <c r="A65">
        <v>61</v>
      </c>
      <c r="B65">
        <v>0.37190000000000001</v>
      </c>
      <c r="C65">
        <f t="shared" si="5"/>
        <v>6.2837711552421474E-2</v>
      </c>
      <c r="D65">
        <f t="shared" si="4"/>
        <v>-8</v>
      </c>
      <c r="E65">
        <v>0.96961548803441799</v>
      </c>
      <c r="F65">
        <v>0.93788652863673005</v>
      </c>
      <c r="G65">
        <v>0.90481312180693796</v>
      </c>
      <c r="H65">
        <v>0.87066415703146005</v>
      </c>
      <c r="I65">
        <v>0.835439634310299</v>
      </c>
      <c r="J65">
        <v>0.79887066415703201</v>
      </c>
      <c r="K65">
        <v>0.76122613605808098</v>
      </c>
      <c r="L65">
        <v>0.72250605001344503</v>
      </c>
      <c r="M65">
        <v>0.68297929550954595</v>
      </c>
      <c r="N65">
        <v>0.64264587254638394</v>
      </c>
      <c r="O65">
        <v>0.60150578112395803</v>
      </c>
      <c r="P65">
        <v>0.56009680021511199</v>
      </c>
      <c r="Q65">
        <v>0.51841892981984505</v>
      </c>
      <c r="R65">
        <v>0.476472169938156</v>
      </c>
      <c r="S65">
        <v>0.43506318902931002</v>
      </c>
      <c r="T65">
        <v>0.39392309760688399</v>
      </c>
      <c r="U65">
        <v>0.35358967464372199</v>
      </c>
      <c r="V65">
        <v>0.31460069911266503</v>
      </c>
      <c r="W65">
        <v>0.276956171013714</v>
      </c>
      <c r="X65">
        <v>0.240924979833289</v>
      </c>
      <c r="Y65">
        <v>0.20704490454423299</v>
      </c>
      <c r="Z65">
        <v>0.17558483463296601</v>
      </c>
      <c r="AA65">
        <v>0.14681365958591</v>
      </c>
      <c r="AB65">
        <v>0.120731379403066</v>
      </c>
      <c r="AC65">
        <v>9.7606883570852496E-2</v>
      </c>
      <c r="AD65">
        <v>7.7440172089271495E-2</v>
      </c>
      <c r="AE65">
        <v>5.9962355471901201E-2</v>
      </c>
      <c r="AF65">
        <v>4.5442323205162803E-2</v>
      </c>
      <c r="AG65">
        <v>3.3611185802635203E-2</v>
      </c>
      <c r="AH65">
        <v>2.4200053777897301E-2</v>
      </c>
      <c r="AI65">
        <v>1.6940037644528099E-2</v>
      </c>
      <c r="AJ65">
        <v>1.1024468943264301E-2</v>
      </c>
      <c r="AK65">
        <v>6.99112664694811E-3</v>
      </c>
      <c r="AL65">
        <v>3.2266738370529701E-3</v>
      </c>
      <c r="AM65">
        <v>1.34444743210541E-3</v>
      </c>
      <c r="AN65">
        <v>8.0666845926324405E-4</v>
      </c>
      <c r="AO65">
        <v>2.6888948642108101E-4</v>
      </c>
      <c r="AP65">
        <v>0</v>
      </c>
    </row>
    <row r="66" spans="1:42">
      <c r="A66">
        <v>62</v>
      </c>
      <c r="B66">
        <v>0.36059999999999998</v>
      </c>
      <c r="C66">
        <f t="shared" si="5"/>
        <v>5.8501043385171633E-2</v>
      </c>
      <c r="D66">
        <f t="shared" si="4"/>
        <v>-8</v>
      </c>
      <c r="E66">
        <v>0.96727676095396597</v>
      </c>
      <c r="F66">
        <v>0.93316694398225197</v>
      </c>
      <c r="G66">
        <v>0.89794786466999499</v>
      </c>
      <c r="H66">
        <v>0.86161952301719402</v>
      </c>
      <c r="I66">
        <v>0.82390460343871397</v>
      </c>
      <c r="J66">
        <v>0.78508042151969004</v>
      </c>
      <c r="K66">
        <v>0.74514697726012202</v>
      </c>
      <c r="L66">
        <v>0.70438158624514702</v>
      </c>
      <c r="M66">
        <v>0.66278424847476403</v>
      </c>
      <c r="N66">
        <v>0.62035496394897405</v>
      </c>
      <c r="O66">
        <v>0.57764836383804796</v>
      </c>
      <c r="P66">
        <v>0.53466444814198599</v>
      </c>
      <c r="Q66">
        <v>0.49140321686078797</v>
      </c>
      <c r="R66">
        <v>0.448696616749862</v>
      </c>
      <c r="S66">
        <v>0.40626733222407102</v>
      </c>
      <c r="T66">
        <v>0.36466999445368897</v>
      </c>
      <c r="U66">
        <v>0.32445923460898501</v>
      </c>
      <c r="V66">
        <v>0.28563505268996198</v>
      </c>
      <c r="W66">
        <v>0.248474764281753</v>
      </c>
      <c r="X66">
        <v>0.21353300055463101</v>
      </c>
      <c r="Y66">
        <v>0.18108707709373301</v>
      </c>
      <c r="Z66">
        <v>0.15141430948419299</v>
      </c>
      <c r="AA66">
        <v>0.12451469772601199</v>
      </c>
      <c r="AB66">
        <v>0.10066555740432601</v>
      </c>
      <c r="AC66">
        <v>7.9866888519134899E-2</v>
      </c>
      <c r="AD66">
        <v>6.1841375485302399E-2</v>
      </c>
      <c r="AE66">
        <v>4.6866333887964601E-2</v>
      </c>
      <c r="AF66">
        <v>3.4664448141985597E-2</v>
      </c>
      <c r="AG66">
        <v>2.4958402662229699E-2</v>
      </c>
      <c r="AH66">
        <v>1.74708818635608E-2</v>
      </c>
      <c r="AI66">
        <v>1.13699389905713E-2</v>
      </c>
      <c r="AJ66">
        <v>7.2102052135330098E-3</v>
      </c>
      <c r="AK66">
        <v>3.3277870216306201E-3</v>
      </c>
      <c r="AL66">
        <v>1.38657792567943E-3</v>
      </c>
      <c r="AM66">
        <v>8.3194675540765501E-4</v>
      </c>
      <c r="AN66">
        <v>2.7731558513588499E-4</v>
      </c>
      <c r="AO66">
        <v>0</v>
      </c>
    </row>
    <row r="67" spans="1:42">
      <c r="A67">
        <v>63</v>
      </c>
      <c r="B67">
        <v>0.3488</v>
      </c>
      <c r="C67">
        <f t="shared" si="5"/>
        <v>5.3857149870895231E-2</v>
      </c>
      <c r="D67">
        <f t="shared" si="4"/>
        <v>-8</v>
      </c>
      <c r="E67">
        <v>0.96473623853210999</v>
      </c>
      <c r="F67">
        <v>0.92832568807339499</v>
      </c>
      <c r="G67">
        <v>0.89076834862385401</v>
      </c>
      <c r="H67">
        <v>0.85177752293578002</v>
      </c>
      <c r="I67">
        <v>0.81163990825688104</v>
      </c>
      <c r="J67">
        <v>0.77035550458715596</v>
      </c>
      <c r="K67">
        <v>0.72821100917431203</v>
      </c>
      <c r="L67">
        <v>0.68520642201834903</v>
      </c>
      <c r="M67">
        <v>0.64134174311926595</v>
      </c>
      <c r="N67">
        <v>0.59719036697247696</v>
      </c>
      <c r="O67">
        <v>0.55275229357798195</v>
      </c>
      <c r="P67">
        <v>0.50802752293578002</v>
      </c>
      <c r="Q67">
        <v>0.46387614678899097</v>
      </c>
      <c r="R67">
        <v>0.42001146788990901</v>
      </c>
      <c r="S67">
        <v>0.377006880733945</v>
      </c>
      <c r="T67">
        <v>0.33543577981651401</v>
      </c>
      <c r="U67">
        <v>0.29529816513761498</v>
      </c>
      <c r="V67">
        <v>0.25688073394495398</v>
      </c>
      <c r="W67">
        <v>0.220756880733945</v>
      </c>
      <c r="X67">
        <v>0.187213302752294</v>
      </c>
      <c r="Y67">
        <v>0.156536697247707</v>
      </c>
      <c r="Z67">
        <v>0.12872706422018401</v>
      </c>
      <c r="AA67">
        <v>0.10407110091743101</v>
      </c>
      <c r="AB67">
        <v>8.2568807339449699E-2</v>
      </c>
      <c r="AC67">
        <v>6.3933486238532206E-2</v>
      </c>
      <c r="AD67">
        <v>4.8451834862385398E-2</v>
      </c>
      <c r="AE67">
        <v>3.5837155963302801E-2</v>
      </c>
      <c r="AF67">
        <v>2.5802752293578E-2</v>
      </c>
      <c r="AG67">
        <v>1.80619266055046E-2</v>
      </c>
      <c r="AH67">
        <v>1.17545871559633E-2</v>
      </c>
      <c r="AI67">
        <v>7.4541284403669798E-3</v>
      </c>
      <c r="AJ67">
        <v>3.44036697247707E-3</v>
      </c>
      <c r="AK67">
        <v>1.43348623853211E-3</v>
      </c>
      <c r="AL67">
        <v>8.6009174311926697E-4</v>
      </c>
      <c r="AM67">
        <v>2.8669724770642301E-4</v>
      </c>
      <c r="AN67">
        <v>0</v>
      </c>
    </row>
    <row r="68" spans="1:42">
      <c r="A68">
        <v>64</v>
      </c>
      <c r="B68">
        <v>0.33650000000000002</v>
      </c>
      <c r="C68">
        <f t="shared" si="5"/>
        <v>4.8886025322376597E-2</v>
      </c>
      <c r="D68">
        <f t="shared" ref="D68:D81" si="6">-$D$2</f>
        <v>-8</v>
      </c>
      <c r="E68">
        <v>0.962258543833581</v>
      </c>
      <c r="F68">
        <v>0.92332838038633003</v>
      </c>
      <c r="G68">
        <v>0.88291233283803805</v>
      </c>
      <c r="H68">
        <v>0.84130757800891598</v>
      </c>
      <c r="I68">
        <v>0.79851411589896004</v>
      </c>
      <c r="J68">
        <v>0.75482912332838004</v>
      </c>
      <c r="K68">
        <v>0.71025260029717696</v>
      </c>
      <c r="L68">
        <v>0.66478454680534904</v>
      </c>
      <c r="M68">
        <v>0.61901931649331399</v>
      </c>
      <c r="N68">
        <v>0.57295690936107002</v>
      </c>
      <c r="O68">
        <v>0.52659732540861803</v>
      </c>
      <c r="P68">
        <v>0.48083209509658298</v>
      </c>
      <c r="Q68">
        <v>0.435364041604755</v>
      </c>
      <c r="R68">
        <v>0.39078751857355198</v>
      </c>
      <c r="S68">
        <v>0.34769687964338802</v>
      </c>
      <c r="T68">
        <v>0.30609212481426501</v>
      </c>
      <c r="U68">
        <v>0.26627043090639002</v>
      </c>
      <c r="V68">
        <v>0.22882615156017799</v>
      </c>
      <c r="W68">
        <v>0.19405646359584</v>
      </c>
      <c r="X68">
        <v>0.16225854383358099</v>
      </c>
      <c r="Y68">
        <v>0.13343239227340301</v>
      </c>
      <c r="Z68">
        <v>0.107875185735513</v>
      </c>
      <c r="AA68">
        <v>8.5586924219911001E-2</v>
      </c>
      <c r="AB68">
        <v>6.6270430906389399E-2</v>
      </c>
      <c r="AC68">
        <v>5.0222882615156103E-2</v>
      </c>
      <c r="AD68">
        <v>3.7147102526002999E-2</v>
      </c>
      <c r="AE68">
        <v>2.6745913818722201E-2</v>
      </c>
      <c r="AF68">
        <v>1.8722139673105501E-2</v>
      </c>
      <c r="AG68">
        <v>1.2184249628529001E-2</v>
      </c>
      <c r="AH68">
        <v>7.7265973254086297E-3</v>
      </c>
      <c r="AI68">
        <v>3.56612184249629E-3</v>
      </c>
      <c r="AJ68">
        <v>1.4858841010401201E-3</v>
      </c>
      <c r="AK68">
        <v>8.9153046062407195E-4</v>
      </c>
      <c r="AL68">
        <v>2.9717682020802402E-4</v>
      </c>
    </row>
    <row r="69" spans="1:42">
      <c r="A69">
        <v>65</v>
      </c>
      <c r="B69">
        <v>0.32379999999999998</v>
      </c>
      <c r="C69">
        <f t="shared" si="5"/>
        <v>4.3517416608663061E-2</v>
      </c>
      <c r="D69">
        <f t="shared" si="6"/>
        <v>-8</v>
      </c>
      <c r="E69">
        <v>0.95954292773316896</v>
      </c>
      <c r="F69">
        <v>0.91754169240271699</v>
      </c>
      <c r="G69">
        <v>0.87430512662137105</v>
      </c>
      <c r="H69">
        <v>0.82983323038912904</v>
      </c>
      <c r="I69">
        <v>0.78443483631871502</v>
      </c>
      <c r="J69">
        <v>0.738109944410129</v>
      </c>
      <c r="K69">
        <v>0.69085855466337198</v>
      </c>
      <c r="L69">
        <v>0.643298332303891</v>
      </c>
      <c r="M69">
        <v>0.59542927733168605</v>
      </c>
      <c r="N69">
        <v>0.54725138974675702</v>
      </c>
      <c r="O69">
        <v>0.49969116738727598</v>
      </c>
      <c r="P69">
        <v>0.45243977764051901</v>
      </c>
      <c r="Q69">
        <v>0.40611488573193399</v>
      </c>
      <c r="R69">
        <v>0.36133415688696702</v>
      </c>
      <c r="S69">
        <v>0.31809759110562102</v>
      </c>
      <c r="T69">
        <v>0.27671402100061798</v>
      </c>
      <c r="U69">
        <v>0.23780111179740601</v>
      </c>
      <c r="V69">
        <v>0.20166769610870899</v>
      </c>
      <c r="W69">
        <v>0.168622606547252</v>
      </c>
      <c r="X69">
        <v>0.13866584311303301</v>
      </c>
      <c r="Y69">
        <v>0.112106238418777</v>
      </c>
      <c r="Z69">
        <v>8.8943792464484403E-2</v>
      </c>
      <c r="AA69">
        <v>6.8869672637430601E-2</v>
      </c>
      <c r="AB69">
        <v>5.2192711550339797E-2</v>
      </c>
      <c r="AC69">
        <v>3.8604076590488E-2</v>
      </c>
      <c r="AD69">
        <v>2.7794935145151401E-2</v>
      </c>
      <c r="AE69">
        <v>1.9456454601605999E-2</v>
      </c>
      <c r="AF69">
        <v>1.26621371216801E-2</v>
      </c>
      <c r="AG69">
        <v>8.0296479308215006E-3</v>
      </c>
      <c r="AH69">
        <v>3.7059913526868498E-3</v>
      </c>
      <c r="AI69">
        <v>1.5441630636195199E-3</v>
      </c>
      <c r="AJ69">
        <v>9.2649783817171203E-4</v>
      </c>
      <c r="AK69">
        <v>3.0883261272390399E-4</v>
      </c>
      <c r="AL69">
        <v>0</v>
      </c>
    </row>
    <row r="70" spans="1:42">
      <c r="A70">
        <v>66</v>
      </c>
      <c r="B70">
        <v>0.31069999999999998</v>
      </c>
      <c r="C70">
        <f t="shared" si="5"/>
        <v>3.7721914070366645E-2</v>
      </c>
      <c r="D70">
        <f t="shared" si="6"/>
        <v>-8</v>
      </c>
      <c r="E70">
        <v>0.95622787254586405</v>
      </c>
      <c r="F70">
        <v>0.91116832957837202</v>
      </c>
      <c r="G70">
        <v>0.864821371097522</v>
      </c>
      <c r="H70">
        <v>0.81750885098165404</v>
      </c>
      <c r="I70">
        <v>0.76923076923076905</v>
      </c>
      <c r="J70">
        <v>0.71998712584486602</v>
      </c>
      <c r="K70">
        <v>0.67042162858062404</v>
      </c>
      <c r="L70">
        <v>0.62053427743804301</v>
      </c>
      <c r="M70">
        <v>0.57032507241712305</v>
      </c>
      <c r="N70">
        <v>0.52075957515288096</v>
      </c>
      <c r="O70">
        <v>0.47151593176697798</v>
      </c>
      <c r="P70">
        <v>0.42323785001609299</v>
      </c>
      <c r="Q70">
        <v>0.37656903765690403</v>
      </c>
      <c r="R70">
        <v>0.33150949468941099</v>
      </c>
      <c r="S70">
        <v>0.28838107499195398</v>
      </c>
      <c r="T70">
        <v>0.24782748632120999</v>
      </c>
      <c r="U70">
        <v>0.21017058255552001</v>
      </c>
      <c r="V70">
        <v>0.17573221757322199</v>
      </c>
      <c r="W70">
        <v>0.14451239137431601</v>
      </c>
      <c r="X70">
        <v>0.116832957837142</v>
      </c>
      <c r="Y70">
        <v>9.2693916961699596E-2</v>
      </c>
      <c r="Z70">
        <v>7.1773414869649305E-2</v>
      </c>
      <c r="AA70">
        <v>5.43933054393307E-2</v>
      </c>
      <c r="AB70">
        <v>4.02317347924043E-2</v>
      </c>
      <c r="AC70">
        <v>2.89668490505311E-2</v>
      </c>
      <c r="AD70">
        <v>2.0276794335371801E-2</v>
      </c>
      <c r="AE70">
        <v>1.3196009011908601E-2</v>
      </c>
      <c r="AF70">
        <v>8.3682008368201003E-3</v>
      </c>
      <c r="AG70">
        <v>3.8622465400708099E-3</v>
      </c>
      <c r="AH70">
        <v>1.6092693916961701E-3</v>
      </c>
      <c r="AI70">
        <v>9.6556163501770301E-4</v>
      </c>
      <c r="AJ70">
        <v>3.2185387833923499E-4</v>
      </c>
    </row>
    <row r="71" spans="1:42">
      <c r="A71">
        <v>67</v>
      </c>
      <c r="B71">
        <v>0.29709999999999998</v>
      </c>
      <c r="C71">
        <f t="shared" si="5"/>
        <v>3.1528535751006517E-2</v>
      </c>
      <c r="D71">
        <f t="shared" si="6"/>
        <v>-8</v>
      </c>
      <c r="E71">
        <v>0.95287781891618994</v>
      </c>
      <c r="F71">
        <v>0.904409289801414</v>
      </c>
      <c r="G71">
        <v>0.85493099966341302</v>
      </c>
      <c r="H71">
        <v>0.804442948502188</v>
      </c>
      <c r="I71">
        <v>0.75294513631773796</v>
      </c>
      <c r="J71">
        <v>0.70111073712554695</v>
      </c>
      <c r="K71">
        <v>0.64893975092561396</v>
      </c>
      <c r="L71">
        <v>0.59643217771793999</v>
      </c>
      <c r="M71">
        <v>0.54459777852574898</v>
      </c>
      <c r="N71">
        <v>0.49309996634129899</v>
      </c>
      <c r="O71">
        <v>0.44261191518007398</v>
      </c>
      <c r="P71">
        <v>0.393806799057556</v>
      </c>
      <c r="Q71">
        <v>0.346684617973746</v>
      </c>
      <c r="R71">
        <v>0.30158195893638501</v>
      </c>
      <c r="S71">
        <v>0.25917199596095603</v>
      </c>
      <c r="T71">
        <v>0.2197913160552</v>
      </c>
      <c r="U71">
        <v>0.18377650622686001</v>
      </c>
      <c r="V71">
        <v>0.15112756647593401</v>
      </c>
      <c r="W71">
        <v>0.122181083810165</v>
      </c>
      <c r="X71">
        <v>9.6937058229552495E-2</v>
      </c>
      <c r="Y71">
        <v>7.5058902726354904E-2</v>
      </c>
      <c r="Z71">
        <v>5.6883204308313798E-2</v>
      </c>
      <c r="AA71">
        <v>4.2073375967687697E-2</v>
      </c>
      <c r="AB71">
        <v>3.0292830696735201E-2</v>
      </c>
      <c r="AC71">
        <v>2.1204981487714599E-2</v>
      </c>
      <c r="AD71">
        <v>1.3800067317401601E-2</v>
      </c>
      <c r="AE71">
        <v>8.7512622012790395E-3</v>
      </c>
      <c r="AF71">
        <v>4.0390440928980203E-3</v>
      </c>
      <c r="AG71">
        <v>1.6829350387075101E-3</v>
      </c>
      <c r="AH71">
        <v>1.0097610232245001E-3</v>
      </c>
      <c r="AI71">
        <v>3.36587007741502E-4</v>
      </c>
      <c r="AJ71">
        <v>0</v>
      </c>
    </row>
    <row r="72" spans="1:42">
      <c r="A72">
        <v>68</v>
      </c>
      <c r="B72">
        <v>0.28310000000000002</v>
      </c>
      <c r="C72">
        <f t="shared" si="5"/>
        <v>2.4868709463246545E-2</v>
      </c>
      <c r="D72">
        <f t="shared" si="6"/>
        <v>-8</v>
      </c>
      <c r="E72">
        <v>0.94913458141999296</v>
      </c>
      <c r="F72">
        <v>0.89720946661956902</v>
      </c>
      <c r="G72">
        <v>0.84422465559872795</v>
      </c>
      <c r="H72">
        <v>0.79018014835747097</v>
      </c>
      <c r="I72">
        <v>0.73578240904274095</v>
      </c>
      <c r="J72">
        <v>0.681031437654539</v>
      </c>
      <c r="K72">
        <v>0.625927234192865</v>
      </c>
      <c r="L72">
        <v>0.57152949487813498</v>
      </c>
      <c r="M72">
        <v>0.517484987636878</v>
      </c>
      <c r="N72">
        <v>0.46450017661603699</v>
      </c>
      <c r="O72">
        <v>0.41328152596255702</v>
      </c>
      <c r="P72">
        <v>0.36382903567643998</v>
      </c>
      <c r="Q72">
        <v>0.31649593783115498</v>
      </c>
      <c r="R72">
        <v>0.27198869657364899</v>
      </c>
      <c r="S72">
        <v>0.230660543977393</v>
      </c>
      <c r="T72">
        <v>0.19286471211586001</v>
      </c>
      <c r="U72">
        <v>0.15860120098905001</v>
      </c>
      <c r="V72">
        <v>0.128223242670435</v>
      </c>
      <c r="W72">
        <v>0.10173083716001401</v>
      </c>
      <c r="X72">
        <v>7.8770752384316703E-2</v>
      </c>
      <c r="Y72">
        <v>5.9696220416814001E-2</v>
      </c>
      <c r="Z72">
        <v>4.4154009184033997E-2</v>
      </c>
      <c r="AA72">
        <v>3.1790886612504503E-2</v>
      </c>
      <c r="AB72">
        <v>2.22536206287531E-2</v>
      </c>
      <c r="AC72">
        <v>1.44825150123631E-2</v>
      </c>
      <c r="AD72">
        <v>9.1840339102790703E-3</v>
      </c>
      <c r="AE72">
        <v>4.2387848816672598E-3</v>
      </c>
      <c r="AF72">
        <v>1.76616036736136E-3</v>
      </c>
      <c r="AG72">
        <v>1.0596962204168199E-3</v>
      </c>
      <c r="AH72">
        <v>3.5323207347227198E-4</v>
      </c>
      <c r="AI72">
        <v>0</v>
      </c>
    </row>
    <row r="73" spans="1:42">
      <c r="A73">
        <v>69</v>
      </c>
      <c r="B73">
        <v>0.26869999999999999</v>
      </c>
      <c r="C73">
        <f t="shared" si="5"/>
        <v>1.7726027607962633E-2</v>
      </c>
      <c r="D73">
        <f t="shared" si="6"/>
        <v>-8</v>
      </c>
      <c r="E73">
        <v>0.945292147376256</v>
      </c>
      <c r="F73">
        <v>0.88946780796427205</v>
      </c>
      <c r="G73">
        <v>0.83252698176404905</v>
      </c>
      <c r="H73">
        <v>0.77521399330107899</v>
      </c>
      <c r="I73">
        <v>0.71752884257536298</v>
      </c>
      <c r="J73">
        <v>0.65947152958690003</v>
      </c>
      <c r="K73">
        <v>0.60215854112393097</v>
      </c>
      <c r="L73">
        <v>0.54521771492370696</v>
      </c>
      <c r="M73">
        <v>0.48939337551172402</v>
      </c>
      <c r="N73">
        <v>0.43542984741347301</v>
      </c>
      <c r="O73">
        <v>0.38332713062895502</v>
      </c>
      <c r="P73">
        <v>0.33345738742091602</v>
      </c>
      <c r="Q73">
        <v>0.28656494231485002</v>
      </c>
      <c r="R73">
        <v>0.24302195757350201</v>
      </c>
      <c r="S73">
        <v>0.20320059545962099</v>
      </c>
      <c r="T73">
        <v>0.16710085597320501</v>
      </c>
      <c r="U73">
        <v>0.135094901377001</v>
      </c>
      <c r="V73">
        <v>0.107182731671009</v>
      </c>
      <c r="W73">
        <v>8.2992184592482504E-2</v>
      </c>
      <c r="X73">
        <v>6.28954224041684E-2</v>
      </c>
      <c r="Y73">
        <v>4.6520282843319799E-2</v>
      </c>
      <c r="Z73">
        <v>3.3494603647190202E-2</v>
      </c>
      <c r="AA73">
        <v>2.3446222553033198E-2</v>
      </c>
      <c r="AB73">
        <v>1.52586527726089E-2</v>
      </c>
      <c r="AC73">
        <v>9.6762188314105102E-3</v>
      </c>
      <c r="AD73">
        <v>4.4659471529587E-3</v>
      </c>
      <c r="AE73">
        <v>1.8608113137327899E-3</v>
      </c>
      <c r="AF73">
        <v>1.11648678823967E-3</v>
      </c>
      <c r="AG73">
        <v>3.7216226274655801E-4</v>
      </c>
    </row>
    <row r="74" spans="1:42">
      <c r="A74">
        <v>70</v>
      </c>
      <c r="B74">
        <v>0.254</v>
      </c>
      <c r="C74">
        <f t="shared" si="5"/>
        <v>1.0026316435541369E-2</v>
      </c>
      <c r="D74">
        <f t="shared" si="6"/>
        <v>-8</v>
      </c>
      <c r="E74">
        <v>0.940944881889764</v>
      </c>
      <c r="F74">
        <v>0.88070866141732296</v>
      </c>
      <c r="G74">
        <v>0.82007874015748095</v>
      </c>
      <c r="H74">
        <v>0.75905511811023696</v>
      </c>
      <c r="I74">
        <v>0.697637795275591</v>
      </c>
      <c r="J74">
        <v>0.63700787401574899</v>
      </c>
      <c r="K74">
        <v>0.57677165354330795</v>
      </c>
      <c r="L74">
        <v>0.51771653543307194</v>
      </c>
      <c r="M74">
        <v>0.46062992125984298</v>
      </c>
      <c r="N74">
        <v>0.40551181102362299</v>
      </c>
      <c r="O74">
        <v>0.35275590551181202</v>
      </c>
      <c r="P74">
        <v>0.303149606299213</v>
      </c>
      <c r="Q74">
        <v>0.25708661417322898</v>
      </c>
      <c r="R74">
        <v>0.21496062992126</v>
      </c>
      <c r="S74">
        <v>0.17677165354330701</v>
      </c>
      <c r="T74">
        <v>0.14291338582677199</v>
      </c>
      <c r="U74">
        <v>0.113385826771654</v>
      </c>
      <c r="V74">
        <v>8.7795275590551405E-2</v>
      </c>
      <c r="W74">
        <v>6.6535433070866304E-2</v>
      </c>
      <c r="X74">
        <v>4.9212598425196999E-2</v>
      </c>
      <c r="Y74">
        <v>3.5433070866141801E-2</v>
      </c>
      <c r="Z74">
        <v>2.4803149606299299E-2</v>
      </c>
      <c r="AA74">
        <v>1.6141732283464601E-2</v>
      </c>
      <c r="AB74">
        <v>1.0236220472441E-2</v>
      </c>
      <c r="AC74">
        <v>4.7244094488189002E-3</v>
      </c>
      <c r="AD74">
        <v>1.9685039370078801E-3</v>
      </c>
      <c r="AE74">
        <v>1.18110236220473E-3</v>
      </c>
      <c r="AF74">
        <v>3.9370078740157599E-4</v>
      </c>
      <c r="AG74">
        <v>0</v>
      </c>
    </row>
    <row r="75" spans="1:42">
      <c r="A75">
        <v>71</v>
      </c>
      <c r="B75">
        <v>0.23899999999999999</v>
      </c>
      <c r="C75">
        <f t="shared" si="5"/>
        <v>1.7562713976652629E-3</v>
      </c>
      <c r="D75">
        <f t="shared" si="6"/>
        <v>-8</v>
      </c>
      <c r="E75">
        <v>0.93598326359832595</v>
      </c>
      <c r="F75">
        <v>0.87154811715481195</v>
      </c>
      <c r="G75">
        <v>0.80669456066945699</v>
      </c>
      <c r="H75">
        <v>0.74142259414225997</v>
      </c>
      <c r="I75">
        <v>0.67698744769874597</v>
      </c>
      <c r="J75">
        <v>0.61297071129707204</v>
      </c>
      <c r="K75">
        <v>0.55020920502092097</v>
      </c>
      <c r="L75">
        <v>0.48953974895397501</v>
      </c>
      <c r="M75">
        <v>0.43096234309623499</v>
      </c>
      <c r="N75">
        <v>0.37489539748953998</v>
      </c>
      <c r="O75">
        <v>0.32217573221757401</v>
      </c>
      <c r="P75">
        <v>0.27322175732217602</v>
      </c>
      <c r="Q75">
        <v>0.228451882845189</v>
      </c>
      <c r="R75">
        <v>0.187866108786611</v>
      </c>
      <c r="S75">
        <v>0.15188284518828499</v>
      </c>
      <c r="T75">
        <v>0.12050209205020999</v>
      </c>
      <c r="U75">
        <v>9.3305439330544193E-2</v>
      </c>
      <c r="V75">
        <v>7.07112970711299E-2</v>
      </c>
      <c r="W75">
        <v>5.2301255230125701E-2</v>
      </c>
      <c r="X75">
        <v>3.7656903765690503E-2</v>
      </c>
      <c r="Y75">
        <v>2.63598326359833E-2</v>
      </c>
      <c r="Z75">
        <v>1.7154811715481201E-2</v>
      </c>
      <c r="AA75">
        <v>1.0878661087866099E-2</v>
      </c>
      <c r="AB75">
        <v>5.0209205020920597E-3</v>
      </c>
      <c r="AC75">
        <v>2.0920502092050199E-3</v>
      </c>
      <c r="AD75">
        <v>1.2552301255230199E-3</v>
      </c>
      <c r="AE75">
        <v>4.1841004184100503E-4</v>
      </c>
    </row>
    <row r="76" spans="1:42">
      <c r="A76">
        <v>72</v>
      </c>
      <c r="B76">
        <v>0.22370000000000001</v>
      </c>
      <c r="C76">
        <f t="shared" si="5"/>
        <v>-7.0813162251916594E-3</v>
      </c>
      <c r="D76">
        <f t="shared" si="6"/>
        <v>-8</v>
      </c>
      <c r="E76">
        <v>0.93115780062583797</v>
      </c>
      <c r="F76">
        <v>0.86186857398301298</v>
      </c>
      <c r="G76">
        <v>0.79213232007152501</v>
      </c>
      <c r="H76">
        <v>0.72329012069736298</v>
      </c>
      <c r="I76">
        <v>0.65489494859186503</v>
      </c>
      <c r="J76">
        <v>0.58784085829235699</v>
      </c>
      <c r="K76">
        <v>0.52302190433616502</v>
      </c>
      <c r="L76">
        <v>0.46043808672329101</v>
      </c>
      <c r="M76">
        <v>0.40053643272239697</v>
      </c>
      <c r="N76">
        <v>0.34421099687081003</v>
      </c>
      <c r="O76">
        <v>0.29190880643719302</v>
      </c>
      <c r="P76">
        <v>0.24407688869021099</v>
      </c>
      <c r="Q76">
        <v>0.20071524362986201</v>
      </c>
      <c r="R76">
        <v>0.16227089852481</v>
      </c>
      <c r="S76">
        <v>0.12874385337505601</v>
      </c>
      <c r="T76">
        <v>9.9687080911935899E-2</v>
      </c>
      <c r="U76">
        <v>7.5547608404112801E-2</v>
      </c>
      <c r="V76">
        <v>5.58784085829237E-2</v>
      </c>
      <c r="W76">
        <v>4.0232454179705002E-2</v>
      </c>
      <c r="X76">
        <v>2.8162717925793501E-2</v>
      </c>
      <c r="Y76">
        <v>1.8328118015198999E-2</v>
      </c>
      <c r="Z76">
        <v>1.1622708985248101E-2</v>
      </c>
      <c r="AA76">
        <v>5.3643272239606698E-3</v>
      </c>
      <c r="AB76">
        <v>2.23513634331694E-3</v>
      </c>
      <c r="AC76">
        <v>1.34108180599017E-3</v>
      </c>
      <c r="AD76">
        <v>4.4702726866338902E-4</v>
      </c>
      <c r="AE76">
        <v>0</v>
      </c>
    </row>
    <row r="77" spans="1:42">
      <c r="A77">
        <v>73</v>
      </c>
      <c r="B77">
        <v>0.20830000000000001</v>
      </c>
      <c r="C77">
        <f t="shared" si="5"/>
        <v>-1.6626413271829708E-2</v>
      </c>
      <c r="D77">
        <f t="shared" si="6"/>
        <v>-8</v>
      </c>
      <c r="E77">
        <v>0.92558809409505505</v>
      </c>
      <c r="F77">
        <v>0.85069611137781997</v>
      </c>
      <c r="G77">
        <v>0.77676428228516603</v>
      </c>
      <c r="H77">
        <v>0.70331253000480098</v>
      </c>
      <c r="I77">
        <v>0.63130100816130597</v>
      </c>
      <c r="J77">
        <v>0.56168987037926099</v>
      </c>
      <c r="K77">
        <v>0.49447911665866601</v>
      </c>
      <c r="L77">
        <v>0.43014882381181002</v>
      </c>
      <c r="M77">
        <v>0.369659145463275</v>
      </c>
      <c r="N77">
        <v>0.313490158425348</v>
      </c>
      <c r="O77">
        <v>0.26212193951032198</v>
      </c>
      <c r="P77">
        <v>0.21555448871819499</v>
      </c>
      <c r="Q77">
        <v>0.17426788286125799</v>
      </c>
      <c r="R77">
        <v>0.13826212193951101</v>
      </c>
      <c r="S77">
        <v>0.107057129140663</v>
      </c>
      <c r="T77">
        <v>8.1132981277004496E-2</v>
      </c>
      <c r="U77">
        <v>6.0009601536245898E-2</v>
      </c>
      <c r="V77">
        <v>4.3206913106096999E-2</v>
      </c>
      <c r="W77">
        <v>3.0244839174267901E-2</v>
      </c>
      <c r="X77">
        <v>1.9683149303888599E-2</v>
      </c>
      <c r="Y77">
        <v>1.2481997119539101E-2</v>
      </c>
      <c r="Z77">
        <v>5.7609217474796004E-3</v>
      </c>
      <c r="AA77">
        <v>2.4003840614498298E-3</v>
      </c>
      <c r="AB77">
        <v>1.4402304368699001E-3</v>
      </c>
      <c r="AC77">
        <v>4.8007681228996702E-4</v>
      </c>
    </row>
    <row r="78" spans="1:42">
      <c r="A78">
        <v>74</v>
      </c>
      <c r="B78">
        <v>0.1928</v>
      </c>
      <c r="C78">
        <f t="shared" si="5"/>
        <v>-2.6877853641985999E-2</v>
      </c>
      <c r="D78">
        <f t="shared" si="6"/>
        <v>-8</v>
      </c>
      <c r="E78">
        <v>0.91908713692946098</v>
      </c>
      <c r="F78">
        <v>0.83921161825726198</v>
      </c>
      <c r="G78">
        <v>0.759854771784233</v>
      </c>
      <c r="H78">
        <v>0.68205394190871405</v>
      </c>
      <c r="I78">
        <v>0.60684647302904604</v>
      </c>
      <c r="J78">
        <v>0.53423236514522898</v>
      </c>
      <c r="K78">
        <v>0.46473029045643199</v>
      </c>
      <c r="L78">
        <v>0.39937759336099599</v>
      </c>
      <c r="M78">
        <v>0.33869294605809203</v>
      </c>
      <c r="N78">
        <v>0.28319502074688802</v>
      </c>
      <c r="O78">
        <v>0.23288381742738601</v>
      </c>
      <c r="P78">
        <v>0.18827800829875499</v>
      </c>
      <c r="Q78">
        <v>0.14937759336099601</v>
      </c>
      <c r="R78">
        <v>0.115663900414938</v>
      </c>
      <c r="S78">
        <v>8.7655601659751198E-2</v>
      </c>
      <c r="T78">
        <v>6.4834024896265705E-2</v>
      </c>
      <c r="U78">
        <v>4.6680497925311301E-2</v>
      </c>
      <c r="V78">
        <v>3.26763485477179E-2</v>
      </c>
      <c r="W78">
        <v>2.1265560165975101E-2</v>
      </c>
      <c r="X78">
        <v>1.34854771784233E-2</v>
      </c>
      <c r="Y78">
        <v>6.2240663900415003E-3</v>
      </c>
      <c r="Z78">
        <v>2.5933609958506301E-3</v>
      </c>
      <c r="AA78">
        <v>1.5560165975103801E-3</v>
      </c>
      <c r="AB78">
        <v>5.1867219917012502E-4</v>
      </c>
      <c r="AC78">
        <v>0</v>
      </c>
    </row>
    <row r="79" spans="1:42">
      <c r="A79">
        <v>75</v>
      </c>
      <c r="B79">
        <v>0.1772</v>
      </c>
      <c r="C79">
        <f t="shared" si="5"/>
        <v>-3.7801865495935297E-2</v>
      </c>
      <c r="D79">
        <f t="shared" si="6"/>
        <v>-8</v>
      </c>
      <c r="E79">
        <v>0.91309255079006801</v>
      </c>
      <c r="F79">
        <v>0.82674943566591397</v>
      </c>
      <c r="G79">
        <v>0.74209932279909696</v>
      </c>
      <c r="H79">
        <v>0.66027088036117298</v>
      </c>
      <c r="I79">
        <v>0.58126410835214404</v>
      </c>
      <c r="J79">
        <v>0.50564334085778795</v>
      </c>
      <c r="K79">
        <v>0.43453724604966198</v>
      </c>
      <c r="L79">
        <v>0.36851015801354398</v>
      </c>
      <c r="M79">
        <v>0.30812641083521503</v>
      </c>
      <c r="N79">
        <v>0.25338600451467302</v>
      </c>
      <c r="O79">
        <v>0.20485327313769799</v>
      </c>
      <c r="P79">
        <v>0.16252821670428899</v>
      </c>
      <c r="Q79">
        <v>0.12584650112866799</v>
      </c>
      <c r="R79">
        <v>9.5372460496614103E-2</v>
      </c>
      <c r="S79">
        <v>7.0541760722347704E-2</v>
      </c>
      <c r="T79">
        <v>5.0790067720090301E-2</v>
      </c>
      <c r="U79">
        <v>3.5553047404063197E-2</v>
      </c>
      <c r="V79">
        <v>2.3137697516930001E-2</v>
      </c>
      <c r="W79">
        <v>1.46726862302483E-2</v>
      </c>
      <c r="X79">
        <v>6.7720090293453697E-3</v>
      </c>
      <c r="Y79">
        <v>2.8216704288939101E-3</v>
      </c>
      <c r="Z79">
        <v>1.69300225733634E-3</v>
      </c>
      <c r="AA79">
        <v>5.6433408577878099E-4</v>
      </c>
      <c r="AB79">
        <v>0</v>
      </c>
    </row>
    <row r="80" spans="1:42">
      <c r="A80">
        <v>76</v>
      </c>
      <c r="B80">
        <v>0.1618</v>
      </c>
      <c r="C80">
        <f t="shared" si="5"/>
        <v>-4.9641548899087687E-2</v>
      </c>
      <c r="D80">
        <f t="shared" si="6"/>
        <v>-8</v>
      </c>
      <c r="E80">
        <v>0.90543881334981502</v>
      </c>
      <c r="F80">
        <v>0.81273176761433896</v>
      </c>
      <c r="G80">
        <v>0.723114956736712</v>
      </c>
      <c r="H80">
        <v>0.63658838071693502</v>
      </c>
      <c r="I80">
        <v>0.553770086526576</v>
      </c>
      <c r="J80">
        <v>0.475896168108777</v>
      </c>
      <c r="K80">
        <v>0.40358467243510499</v>
      </c>
      <c r="L80">
        <v>0.337453646477133</v>
      </c>
      <c r="M80">
        <v>0.27750309023485797</v>
      </c>
      <c r="N80">
        <v>0.224351050679852</v>
      </c>
      <c r="O80">
        <v>0.177997527812114</v>
      </c>
      <c r="P80">
        <v>0.137824474660074</v>
      </c>
      <c r="Q80">
        <v>0.104449938195303</v>
      </c>
      <c r="R80">
        <v>7.7255871446230001E-2</v>
      </c>
      <c r="S80">
        <v>5.5624227441285597E-2</v>
      </c>
      <c r="T80">
        <v>3.8936959208899898E-2</v>
      </c>
      <c r="U80">
        <v>2.5339925834363401E-2</v>
      </c>
      <c r="V80">
        <v>1.6069221260815801E-2</v>
      </c>
      <c r="W80">
        <v>7.4165636588380702E-3</v>
      </c>
      <c r="X80">
        <v>3.0902348578492E-3</v>
      </c>
      <c r="Y80">
        <v>1.8541409147095199E-3</v>
      </c>
      <c r="Z80">
        <v>6.1804697156984001E-4</v>
      </c>
    </row>
    <row r="81" spans="1:26">
      <c r="A81">
        <v>77</v>
      </c>
      <c r="B81">
        <v>0.14649999999999999</v>
      </c>
      <c r="C81">
        <f t="shared" si="5"/>
        <v>-6.2261776699464991E-2</v>
      </c>
      <c r="D81">
        <f t="shared" si="6"/>
        <v>-8</v>
      </c>
      <c r="E81">
        <v>0.89761092150170696</v>
      </c>
      <c r="F81">
        <v>0.79863481228668898</v>
      </c>
      <c r="G81">
        <v>0.70307167235494905</v>
      </c>
      <c r="H81">
        <v>0.61160409556313999</v>
      </c>
      <c r="I81">
        <v>0.52559726962457398</v>
      </c>
      <c r="J81">
        <v>0.445733788395905</v>
      </c>
      <c r="K81">
        <v>0.37269624573378901</v>
      </c>
      <c r="L81">
        <v>0.30648464163822497</v>
      </c>
      <c r="M81">
        <v>0.24778156996587</v>
      </c>
      <c r="N81">
        <v>0.19658703071672401</v>
      </c>
      <c r="O81">
        <v>0.15221843003412999</v>
      </c>
      <c r="P81">
        <v>0.115358361774744</v>
      </c>
      <c r="Q81">
        <v>8.5324232081911297E-2</v>
      </c>
      <c r="R81">
        <v>6.14334470989761E-2</v>
      </c>
      <c r="S81">
        <v>4.3003412969283297E-2</v>
      </c>
      <c r="T81">
        <v>2.7986348122866898E-2</v>
      </c>
      <c r="U81">
        <v>1.7747440273037499E-2</v>
      </c>
      <c r="V81">
        <v>8.1911262798634796E-3</v>
      </c>
      <c r="W81">
        <v>3.4129692832764501E-3</v>
      </c>
      <c r="X81">
        <v>2.0477815699658699E-3</v>
      </c>
      <c r="Y81">
        <v>6.8259385665529E-4</v>
      </c>
      <c r="Z81">
        <v>0</v>
      </c>
    </row>
    <row r="84" spans="1:26">
      <c r="A84" t="s">
        <v>130</v>
      </c>
      <c r="C84">
        <v>15</v>
      </c>
      <c r="D84">
        <v>14</v>
      </c>
      <c r="E84">
        <v>13</v>
      </c>
      <c r="F84">
        <v>12.5</v>
      </c>
      <c r="G84">
        <v>12</v>
      </c>
      <c r="H84">
        <v>11</v>
      </c>
      <c r="I84">
        <v>10</v>
      </c>
      <c r="J84">
        <v>9.5</v>
      </c>
      <c r="K84">
        <v>9</v>
      </c>
      <c r="L84">
        <v>8.5</v>
      </c>
      <c r="M84">
        <v>8</v>
      </c>
      <c r="N84">
        <v>7</v>
      </c>
    </row>
    <row r="85" spans="1:26">
      <c r="A85" t="s">
        <v>129</v>
      </c>
    </row>
    <row r="86" spans="1:26">
      <c r="A86">
        <v>0</v>
      </c>
      <c r="C86" s="3">
        <v>4.0587470382035598E-2</v>
      </c>
      <c r="D86" s="3">
        <v>4.4584965756741701E-2</v>
      </c>
      <c r="E86" s="3">
        <v>4.9139790316092703E-2</v>
      </c>
      <c r="F86" s="3">
        <v>5.1668358428608202E-2</v>
      </c>
      <c r="G86" s="3">
        <v>5.4392613709314801E-2</v>
      </c>
      <c r="H86" s="3">
        <v>6.0536661896885599E-2</v>
      </c>
      <c r="I86" s="3">
        <v>6.7844566855366897E-2</v>
      </c>
      <c r="J86" s="3">
        <v>7.1842280150949303E-2</v>
      </c>
      <c r="K86" s="3">
        <v>7.6713310003901594E-2</v>
      </c>
      <c r="L86" s="3">
        <v>8.1909327577960003E-2</v>
      </c>
      <c r="M86" s="3">
        <v>8.7743143407750898E-2</v>
      </c>
      <c r="N86" s="3">
        <v>0.101884576455399</v>
      </c>
    </row>
    <row r="87" spans="1:26">
      <c r="A87">
        <v>1</v>
      </c>
      <c r="C87" s="3">
        <v>4.9740719176002597E-2</v>
      </c>
      <c r="D87" s="3">
        <v>5.4273515191584902E-2</v>
      </c>
      <c r="E87" s="3">
        <v>5.94523754772672E-2</v>
      </c>
      <c r="F87" s="3">
        <v>6.2333115282160102E-2</v>
      </c>
      <c r="G87" s="3">
        <v>6.54408835956556E-2</v>
      </c>
      <c r="H87" s="3">
        <v>7.2463347669720402E-2</v>
      </c>
      <c r="I87" s="3">
        <v>8.0835514491859897E-2</v>
      </c>
      <c r="J87" s="3">
        <v>8.5422227218421007E-2</v>
      </c>
      <c r="K87" s="3">
        <v>9.1015810502732802E-2</v>
      </c>
      <c r="L87" s="3">
        <v>9.6987059873355305E-2</v>
      </c>
      <c r="M87" s="3">
        <v>0.103695067907108</v>
      </c>
      <c r="N87" s="3">
        <v>0.11996328070522599</v>
      </c>
    </row>
    <row r="88" spans="1:26">
      <c r="A88">
        <v>2</v>
      </c>
      <c r="C88" s="3">
        <v>5.2873433624598301E-2</v>
      </c>
      <c r="D88" s="3">
        <v>5.7599088170823702E-2</v>
      </c>
      <c r="E88" s="3">
        <v>6.3000574466107295E-2</v>
      </c>
      <c r="F88" s="3">
        <v>6.6005975731000102E-2</v>
      </c>
      <c r="G88" s="3">
        <v>6.9248744340112203E-2</v>
      </c>
      <c r="H88" s="3">
        <v>7.6577641966310797E-2</v>
      </c>
      <c r="I88" s="3">
        <v>8.5316343006051204E-2</v>
      </c>
      <c r="J88" s="3">
        <v>9.0103881392062102E-2</v>
      </c>
      <c r="K88" s="3">
        <v>9.5942013767567905E-2</v>
      </c>
      <c r="L88" s="3">
        <v>0.102173570140961</v>
      </c>
      <c r="M88" s="3">
        <v>0.109172730602346</v>
      </c>
      <c r="N88" s="3">
        <v>0.126139838599686</v>
      </c>
    </row>
    <row r="89" spans="1:26">
      <c r="A89">
        <v>3</v>
      </c>
      <c r="C89" s="3">
        <v>5.4447063802927298E-2</v>
      </c>
      <c r="D89" s="3">
        <v>5.9277379657407002E-2</v>
      </c>
      <c r="E89" s="3">
        <v>6.4798633009292103E-2</v>
      </c>
      <c r="F89" s="3">
        <v>6.78706540424239E-2</v>
      </c>
      <c r="G89" s="3">
        <v>7.1185236529598406E-2</v>
      </c>
      <c r="H89" s="3">
        <v>7.8675979508542104E-2</v>
      </c>
      <c r="I89" s="3">
        <v>8.7606399285561007E-2</v>
      </c>
      <c r="J89" s="3">
        <v>9.2498222491565807E-2</v>
      </c>
      <c r="K89" s="3">
        <v>9.8462695170583897E-2</v>
      </c>
      <c r="L89" s="3">
        <v>0.104828015168482</v>
      </c>
      <c r="M89" s="3">
        <v>0.11197598900733501</v>
      </c>
      <c r="N89" s="3">
        <v>0.129297263229466</v>
      </c>
    </row>
    <row r="90" spans="1:26">
      <c r="A90">
        <v>4</v>
      </c>
      <c r="C90" s="3">
        <v>5.5280591701292701E-2</v>
      </c>
      <c r="D90" s="3">
        <v>6.0174413418042597E-2</v>
      </c>
      <c r="E90" s="3">
        <v>6.5767551659453402E-2</v>
      </c>
      <c r="F90" s="3">
        <v>6.8879228372076606E-2</v>
      </c>
      <c r="G90" s="3">
        <v>7.2236315662952105E-2</v>
      </c>
      <c r="H90" s="3">
        <v>7.9822011067397697E-2</v>
      </c>
      <c r="I90" s="3">
        <v>8.8863585850345095E-2</v>
      </c>
      <c r="J90" s="3">
        <v>9.3815343145611005E-2</v>
      </c>
      <c r="K90" s="3">
        <v>9.98519794912473E-2</v>
      </c>
      <c r="L90" s="3">
        <v>0.106293214620827</v>
      </c>
      <c r="M90" s="3">
        <v>0.11352510304661501</v>
      </c>
      <c r="N90" s="3">
        <v>0.13104402988686001</v>
      </c>
    </row>
    <row r="91" spans="1:26">
      <c r="A91">
        <v>5</v>
      </c>
      <c r="C91" s="3">
        <v>5.5699196482052599E-2</v>
      </c>
      <c r="D91" s="3">
        <v>6.0633879391623603E-2</v>
      </c>
      <c r="E91" s="3">
        <v>6.6272564053524996E-2</v>
      </c>
      <c r="F91" s="3">
        <v>6.9409068127988902E-2</v>
      </c>
      <c r="G91" s="3">
        <v>7.2792545443247203E-2</v>
      </c>
      <c r="H91" s="3">
        <v>8.0436425592726707E-2</v>
      </c>
      <c r="I91" s="3">
        <v>8.9544891419464506E-2</v>
      </c>
      <c r="J91" s="3">
        <v>9.4532221119810397E-2</v>
      </c>
      <c r="K91" s="3">
        <v>0.100611264916383</v>
      </c>
      <c r="L91" s="3">
        <v>0.10709664216762201</v>
      </c>
      <c r="M91" s="3">
        <v>0.114376794522183</v>
      </c>
      <c r="N91" s="3">
        <v>0.13200733431842199</v>
      </c>
    </row>
    <row r="92" spans="1:26">
      <c r="A92">
        <v>6</v>
      </c>
      <c r="C92" s="3">
        <v>5.6130463821739598E-2</v>
      </c>
      <c r="D92" s="3">
        <v>6.1109794753270198E-2</v>
      </c>
      <c r="E92" s="3">
        <v>6.6798675639545196E-2</v>
      </c>
      <c r="F92" s="3">
        <v>6.9962743141880099E-2</v>
      </c>
      <c r="G92" s="3">
        <v>7.3375681884478502E-2</v>
      </c>
      <c r="H92" s="3">
        <v>8.1085141472130001E-2</v>
      </c>
      <c r="I92" s="3">
        <v>9.0270123976310401E-2</v>
      </c>
      <c r="J92" s="3">
        <v>9.5298663899113595E-2</v>
      </c>
      <c r="K92" s="3">
        <v>0.10142733002421001</v>
      </c>
      <c r="L92" s="3">
        <v>0.107964951775134</v>
      </c>
      <c r="M92" s="3">
        <v>0.115302946654687</v>
      </c>
      <c r="N92" s="3">
        <v>0.13307030393157601</v>
      </c>
    </row>
    <row r="93" spans="1:26">
      <c r="A93">
        <v>7</v>
      </c>
      <c r="C93" s="3">
        <v>5.6332272045252998E-2</v>
      </c>
      <c r="D93" s="3">
        <v>6.1344646782437402E-2</v>
      </c>
      <c r="E93" s="3">
        <v>6.70702883854917E-2</v>
      </c>
      <c r="F93" s="3">
        <v>7.0254386374470998E-2</v>
      </c>
      <c r="G93" s="3">
        <v>7.3688626854004305E-2</v>
      </c>
      <c r="H93" s="3">
        <v>8.1445158908065196E-2</v>
      </c>
      <c r="I93" s="3">
        <v>9.0684595529749307E-2</v>
      </c>
      <c r="J93" s="3">
        <v>9.5742311058520005E-2</v>
      </c>
      <c r="K93" s="3">
        <v>0.101906009334544</v>
      </c>
      <c r="L93" s="3">
        <v>0.108480434201901</v>
      </c>
      <c r="M93" s="3">
        <v>0.11585912103292401</v>
      </c>
      <c r="N93" s="3">
        <v>0.133722700554365</v>
      </c>
    </row>
    <row r="94" spans="1:26">
      <c r="A94">
        <v>8</v>
      </c>
      <c r="C94" s="3">
        <v>5.6380571506848699E-2</v>
      </c>
      <c r="D94" s="3">
        <v>6.1418575711108502E-2</v>
      </c>
      <c r="E94" s="3">
        <v>6.7172389795958007E-2</v>
      </c>
      <c r="F94" s="3">
        <v>7.0371702694741106E-2</v>
      </c>
      <c r="G94" s="3">
        <v>7.3822029351537005E-2</v>
      </c>
      <c r="H94" s="3">
        <v>8.1613811385029503E-2</v>
      </c>
      <c r="I94" s="3">
        <v>9.0893631603425895E-2</v>
      </c>
      <c r="J94" s="3">
        <v>9.5972863499348401E-2</v>
      </c>
      <c r="K94" s="3">
        <v>0.10216232777385199</v>
      </c>
      <c r="L94" s="3">
        <v>0.108763776832703</v>
      </c>
      <c r="M94" s="3">
        <v>0.116172333765187</v>
      </c>
      <c r="N94" s="3">
        <v>0.134106722931393</v>
      </c>
    </row>
    <row r="95" spans="1:26">
      <c r="A95">
        <v>9</v>
      </c>
      <c r="C95" s="3">
        <v>5.6300296655879101E-2</v>
      </c>
      <c r="D95" s="3">
        <v>6.1357667468440402E-2</v>
      </c>
      <c r="E95" s="3">
        <v>6.7132360510239297E-2</v>
      </c>
      <c r="F95" s="3">
        <v>7.0342780950804096E-2</v>
      </c>
      <c r="G95" s="3">
        <v>7.3804731270423599E-2</v>
      </c>
      <c r="H95" s="3">
        <v>8.1621595679659306E-2</v>
      </c>
      <c r="I95" s="3">
        <v>9.0929608695756503E-2</v>
      </c>
      <c r="J95" s="3">
        <v>9.6023682042094105E-2</v>
      </c>
      <c r="K95" s="3">
        <v>0.102230802190061</v>
      </c>
      <c r="L95" s="3">
        <v>0.108850677083227</v>
      </c>
      <c r="M95" s="3">
        <v>0.116279544080927</v>
      </c>
      <c r="N95" s="3">
        <v>0.134262125065332</v>
      </c>
    </row>
    <row r="96" spans="1:26">
      <c r="A96">
        <v>10</v>
      </c>
      <c r="C96" s="3">
        <v>5.6132227310008297E-2</v>
      </c>
      <c r="D96" s="3">
        <v>6.1204939297025598E-2</v>
      </c>
      <c r="E96" s="3">
        <v>6.6995797751663894E-2</v>
      </c>
      <c r="F96" s="3">
        <v>7.0214660658750899E-2</v>
      </c>
      <c r="G96" s="3">
        <v>7.3685331485118993E-2</v>
      </c>
      <c r="H96" s="3">
        <v>8.1520638354076705E-2</v>
      </c>
      <c r="I96" s="3">
        <v>9.0848848083596001E-2</v>
      </c>
      <c r="J96" s="3">
        <v>9.5953374072226497E-2</v>
      </c>
      <c r="K96" s="3">
        <v>0.102172812252298</v>
      </c>
      <c r="L96" s="3">
        <v>0.10880545228143899</v>
      </c>
      <c r="M96" s="3">
        <v>0.11624834037816401</v>
      </c>
      <c r="N96" s="3">
        <v>0.134264298450995</v>
      </c>
    </row>
    <row r="97" spans="1:14">
      <c r="A97">
        <v>11</v>
      </c>
      <c r="C97" s="3">
        <v>5.58236715196972E-2</v>
      </c>
      <c r="D97" s="3">
        <v>6.0904082238739797E-2</v>
      </c>
      <c r="E97" s="3">
        <v>6.6702083890406105E-2</v>
      </c>
      <c r="F97" s="3">
        <v>6.9924249722610493E-2</v>
      </c>
      <c r="G97" s="3">
        <v>7.3398008601427395E-2</v>
      </c>
      <c r="H97" s="3">
        <v>8.1238733131589996E-2</v>
      </c>
      <c r="I97" s="3">
        <v>9.0571164594313205E-2</v>
      </c>
      <c r="J97" s="3">
        <v>9.5677226922491102E-2</v>
      </c>
      <c r="K97" s="3">
        <v>0.101897984926466</v>
      </c>
      <c r="L97" s="3">
        <v>0.10853152864737001</v>
      </c>
      <c r="M97" s="3">
        <v>0.115975001444986</v>
      </c>
      <c r="N97" s="3">
        <v>0.13399147000382799</v>
      </c>
    </row>
    <row r="98" spans="1:14">
      <c r="A98">
        <v>12</v>
      </c>
      <c r="C98" s="3">
        <v>5.5472738173893602E-2</v>
      </c>
      <c r="D98" s="3">
        <v>6.0558989724689198E-2</v>
      </c>
      <c r="E98" s="3">
        <v>6.6361854322441502E-2</v>
      </c>
      <c r="F98" s="3">
        <v>6.9585986014950696E-2</v>
      </c>
      <c r="G98" s="3">
        <v>7.3061338508751794E-2</v>
      </c>
      <c r="H98" s="3">
        <v>8.0903919218317299E-2</v>
      </c>
      <c r="I98" s="3">
        <v>9.0236029463402395E-2</v>
      </c>
      <c r="J98" s="3">
        <v>9.5341020991533396E-2</v>
      </c>
      <c r="K98" s="3">
        <v>0.101559822266727</v>
      </c>
      <c r="L98" s="3">
        <v>0.108190670478268</v>
      </c>
      <c r="M98" s="3">
        <v>0.11563058114927199</v>
      </c>
      <c r="N98" s="3">
        <v>0.13363718017343101</v>
      </c>
    </row>
    <row r="99" spans="1:14">
      <c r="A99">
        <v>13</v>
      </c>
      <c r="C99" s="3">
        <v>5.5087161867211701E-2</v>
      </c>
      <c r="D99" s="3">
        <v>6.01777899575461E-2</v>
      </c>
      <c r="E99" s="3">
        <v>6.5983673456522604E-2</v>
      </c>
      <c r="F99" s="3">
        <v>6.9208668962954606E-2</v>
      </c>
      <c r="G99" s="3">
        <v>7.2684367161148095E-2</v>
      </c>
      <c r="H99" s="3">
        <v>8.0525769257766305E-2</v>
      </c>
      <c r="I99" s="3">
        <v>8.9853580473511205E-2</v>
      </c>
      <c r="J99" s="3">
        <v>9.4955171636182695E-2</v>
      </c>
      <c r="K99" s="3">
        <v>0.101169045408162</v>
      </c>
      <c r="L99" s="3">
        <v>0.107793884155527</v>
      </c>
      <c r="M99" s="3">
        <v>0.11522635427028299</v>
      </c>
      <c r="N99" s="3">
        <v>0.133213122925606</v>
      </c>
    </row>
    <row r="100" spans="1:14">
      <c r="A100">
        <v>14</v>
      </c>
      <c r="C100" s="3">
        <v>5.4686729985053202E-2</v>
      </c>
      <c r="D100" s="3">
        <v>5.9781447621368097E-2</v>
      </c>
      <c r="E100" s="3">
        <v>6.5589869502024195E-2</v>
      </c>
      <c r="F100" s="3">
        <v>6.8815391428124803E-2</v>
      </c>
      <c r="G100" s="3">
        <v>7.2291015737554296E-2</v>
      </c>
      <c r="H100" s="3">
        <v>8.0130082715822601E-2</v>
      </c>
      <c r="I100" s="3">
        <v>8.9451853469359494E-2</v>
      </c>
      <c r="J100" s="3">
        <v>9.4548932132178298E-2</v>
      </c>
      <c r="K100" s="3">
        <v>0.10075638008473201</v>
      </c>
      <c r="L100" s="3">
        <v>0.107373448321229</v>
      </c>
      <c r="M100" s="3">
        <v>0.11479631588733701</v>
      </c>
      <c r="N100" s="3">
        <v>0.13275730942494501</v>
      </c>
    </row>
    <row r="101" spans="1:14">
      <c r="A101">
        <v>15</v>
      </c>
      <c r="C101" s="3">
        <v>5.4293157282426598E-2</v>
      </c>
      <c r="D101" s="3">
        <v>5.9393041843157503E-2</v>
      </c>
      <c r="E101" s="3">
        <v>6.5205116383353107E-2</v>
      </c>
      <c r="F101" s="3">
        <v>6.8431728801742697E-2</v>
      </c>
      <c r="G101" s="3">
        <v>7.1907842110793693E-2</v>
      </c>
      <c r="H101" s="3">
        <v>7.9745669119643994E-2</v>
      </c>
      <c r="I101" s="3">
        <v>8.9062384090237798E-2</v>
      </c>
      <c r="J101" s="3">
        <v>9.4155343869282301E-2</v>
      </c>
      <c r="K101" s="3">
        <v>0.100356710255188</v>
      </c>
      <c r="L101" s="3">
        <v>0.10696621655485899</v>
      </c>
      <c r="M101" s="3">
        <v>0.114379529520755</v>
      </c>
      <c r="N101" s="3">
        <v>0.132314118428324</v>
      </c>
    </row>
    <row r="102" spans="1:14">
      <c r="A102">
        <v>16</v>
      </c>
      <c r="C102" s="3">
        <v>5.39531218840964E-2</v>
      </c>
      <c r="D102" s="3">
        <v>5.9062243195263597E-2</v>
      </c>
      <c r="E102" s="3">
        <v>6.4882613631158798E-2</v>
      </c>
      <c r="F102" s="3">
        <v>6.8112890848290697E-2</v>
      </c>
      <c r="G102" s="3">
        <v>7.1592260128386501E-2</v>
      </c>
      <c r="H102" s="3">
        <v>7.94350477496297E-2</v>
      </c>
      <c r="I102" s="3">
        <v>8.8753979512531306E-2</v>
      </c>
      <c r="J102" s="3">
        <v>9.3846740125370198E-2</v>
      </c>
      <c r="K102" s="3">
        <v>0.100046738027712</v>
      </c>
      <c r="L102" s="3">
        <v>0.10665362947634</v>
      </c>
      <c r="M102" s="3">
        <v>0.114062840405816</v>
      </c>
      <c r="N102" s="3">
        <v>0.131983800110999</v>
      </c>
    </row>
    <row r="103" spans="1:14">
      <c r="A103">
        <v>17</v>
      </c>
      <c r="C103" s="3">
        <v>5.3626142480023002E-2</v>
      </c>
      <c r="D103" s="3">
        <v>5.8746344887168497E-2</v>
      </c>
      <c r="E103" s="3">
        <v>6.4577053168479406E-2</v>
      </c>
      <c r="F103" s="3">
        <v>6.7812098431355397E-2</v>
      </c>
      <c r="G103" s="3">
        <v>7.1295886309322307E-2</v>
      </c>
      <c r="H103" s="3">
        <v>7.9146151394772102E-2</v>
      </c>
      <c r="I103" s="3">
        <v>8.8470092646563206E-2</v>
      </c>
      <c r="J103" s="3">
        <v>9.3564086412040795E-2</v>
      </c>
      <c r="K103" s="3">
        <v>9.9764369343359E-2</v>
      </c>
      <c r="L103" s="3">
        <v>0.106370300012861</v>
      </c>
      <c r="M103" s="3">
        <v>0.113777134640296</v>
      </c>
      <c r="N103" s="3">
        <v>0.131688110631795</v>
      </c>
    </row>
    <row r="104" spans="1:14">
      <c r="A104">
        <v>18</v>
      </c>
      <c r="C104" s="3">
        <v>5.3302334250135801E-2</v>
      </c>
      <c r="D104" s="3">
        <v>5.8435000622579898E-2</v>
      </c>
      <c r="E104" s="3">
        <v>6.4277548998728506E-2</v>
      </c>
      <c r="F104" s="3">
        <v>6.7518160092134502E-2</v>
      </c>
      <c r="G104" s="3">
        <v>7.1007195743943805E-2</v>
      </c>
      <c r="H104" s="3">
        <v>7.8866687782568806E-2</v>
      </c>
      <c r="I104" s="3">
        <v>8.8197493280817094E-2</v>
      </c>
      <c r="J104" s="3">
        <v>9.3293628714337606E-2</v>
      </c>
      <c r="K104" s="3">
        <v>9.9495202217562306E-2</v>
      </c>
      <c r="L104" s="3">
        <v>0.106101123492578</v>
      </c>
      <c r="M104" s="3">
        <v>0.11350650470008</v>
      </c>
      <c r="N104" s="3">
        <v>0.13140913540098401</v>
      </c>
    </row>
    <row r="105" spans="1:14">
      <c r="A105">
        <v>19</v>
      </c>
      <c r="C105" s="3">
        <v>5.29942806456268E-2</v>
      </c>
      <c r="D105" s="3">
        <v>5.8141681787402401E-2</v>
      </c>
      <c r="E105" s="3">
        <v>6.3998620915923607E-2</v>
      </c>
      <c r="F105" s="3">
        <v>6.7246193471475604E-2</v>
      </c>
      <c r="G105" s="3">
        <v>7.0741962090152197E-2</v>
      </c>
      <c r="H105" s="3">
        <v>7.8613952074835097E-2</v>
      </c>
      <c r="I105" s="3">
        <v>8.79553535657559E-2</v>
      </c>
      <c r="J105" s="3">
        <v>9.3055592816841406E-2</v>
      </c>
      <c r="K105" s="3">
        <v>9.92607684798191E-2</v>
      </c>
      <c r="L105" s="3">
        <v>0.10586904850191001</v>
      </c>
      <c r="M105" s="3">
        <v>0.113275514536455</v>
      </c>
      <c r="N105" s="3">
        <v>0.131175436750922</v>
      </c>
    </row>
    <row r="106" spans="1:14">
      <c r="A106">
        <v>20</v>
      </c>
      <c r="C106" s="3">
        <v>5.2704112652013302E-2</v>
      </c>
      <c r="D106" s="3">
        <v>5.7868828740650899E-2</v>
      </c>
      <c r="E106" s="3">
        <v>6.3743082927657096E-2</v>
      </c>
      <c r="F106" s="3">
        <v>6.6999229621042405E-2</v>
      </c>
      <c r="G106" s="3">
        <v>7.0503457810909803E-2</v>
      </c>
      <c r="H106" s="3">
        <v>7.8391789335464201E-2</v>
      </c>
      <c r="I106" s="3">
        <v>8.7748248209919097E-2</v>
      </c>
      <c r="J106" s="3">
        <v>9.2854973632430504E-2</v>
      </c>
      <c r="K106" s="3">
        <v>9.9066593906087394E-2</v>
      </c>
      <c r="L106" s="3">
        <v>0.105680188548977</v>
      </c>
      <c r="M106" s="3">
        <v>0.113090961961539</v>
      </c>
      <c r="N106" s="3">
        <v>0.13099556539966001</v>
      </c>
    </row>
    <row r="107" spans="1:14">
      <c r="A107">
        <v>21</v>
      </c>
      <c r="C107" s="3">
        <v>5.2410043252843798E-2</v>
      </c>
      <c r="D107" s="3">
        <v>5.7593551141387402E-2</v>
      </c>
      <c r="E107" s="3">
        <v>6.3486754672718096E-2</v>
      </c>
      <c r="F107" s="3">
        <v>6.67523583753898E-2</v>
      </c>
      <c r="G107" s="3">
        <v>7.0265976510600597E-2</v>
      </c>
      <c r="H107" s="3">
        <v>7.8172663493101702E-2</v>
      </c>
      <c r="I107" s="3">
        <v>8.7546412639815399E-2</v>
      </c>
      <c r="J107" s="3">
        <v>9.26607673317527E-2</v>
      </c>
      <c r="K107" s="3">
        <v>9.8880148239432197E-2</v>
      </c>
      <c r="L107" s="3">
        <v>0.105500367629816</v>
      </c>
      <c r="M107" s="3">
        <v>0.112916804504837</v>
      </c>
      <c r="N107" s="3">
        <v>0.13082888653525299</v>
      </c>
    </row>
    <row r="108" spans="1:14">
      <c r="A108">
        <v>22</v>
      </c>
      <c r="C108" s="3">
        <v>5.2124397879557603E-2</v>
      </c>
      <c r="D108" s="3">
        <v>5.7329054516331697E-2</v>
      </c>
      <c r="E108" s="3">
        <v>6.3243882054825298E-2</v>
      </c>
      <c r="F108" s="3">
        <v>6.6520419638685602E-2</v>
      </c>
      <c r="G108" s="3">
        <v>7.0045010601215998E-2</v>
      </c>
      <c r="H108" s="3">
        <v>7.7973583616936001E-2</v>
      </c>
      <c r="I108" s="3">
        <v>8.7368734306761203E-2</v>
      </c>
      <c r="J108" s="3">
        <v>9.2492919815038405E-2</v>
      </c>
      <c r="K108" s="3">
        <v>9.8722693763706404E-2</v>
      </c>
      <c r="L108" s="3">
        <v>0.105352281777226</v>
      </c>
      <c r="M108" s="3">
        <v>0.11277738061322699</v>
      </c>
      <c r="N108" s="3">
        <v>0.13070384067563401</v>
      </c>
    </row>
    <row r="109" spans="1:14">
      <c r="A109">
        <v>23</v>
      </c>
      <c r="C109" s="3">
        <v>5.1836168526293601E-2</v>
      </c>
      <c r="D109" s="3">
        <v>5.7063884773345099E-2</v>
      </c>
      <c r="E109" s="3">
        <v>6.3002495067119496E-2</v>
      </c>
      <c r="F109" s="3">
        <v>6.6291154249821294E-2</v>
      </c>
      <c r="G109" s="3">
        <v>6.9827987689204493E-2</v>
      </c>
      <c r="H109" s="3">
        <v>7.7781266368971702E-2</v>
      </c>
      <c r="I109" s="3">
        <v>8.7201080441032697E-2</v>
      </c>
      <c r="J109" s="3">
        <v>9.2336833647098507E-2</v>
      </c>
      <c r="K109" s="3">
        <v>9.8579068085392796E-2</v>
      </c>
      <c r="L109" s="3">
        <v>0.10522016837291299</v>
      </c>
      <c r="M109" s="3">
        <v>0.112656257724971</v>
      </c>
      <c r="N109" s="3">
        <v>0.130602392479584</v>
      </c>
    </row>
    <row r="110" spans="1:14">
      <c r="A110">
        <v>24</v>
      </c>
      <c r="C110" s="3">
        <v>5.1545565641684103E-2</v>
      </c>
      <c r="D110" s="3">
        <v>5.6798451050047799E-2</v>
      </c>
      <c r="E110" s="3">
        <v>6.2763243999864604E-2</v>
      </c>
      <c r="F110" s="3">
        <v>6.60653532080024E-2</v>
      </c>
      <c r="G110" s="3">
        <v>6.9615855844549906E-2</v>
      </c>
      <c r="H110" s="3">
        <v>7.7597034833234199E-2</v>
      </c>
      <c r="I110" s="3">
        <v>8.7045257164911793E-2</v>
      </c>
      <c r="J110" s="3">
        <v>9.2194595803266693E-2</v>
      </c>
      <c r="K110" s="3">
        <v>9.8451715793673594E-2</v>
      </c>
      <c r="L110" s="3">
        <v>0.10510687154357</v>
      </c>
      <c r="M110" s="3">
        <v>0.11255674986051201</v>
      </c>
      <c r="N110" s="3">
        <v>0.130529081791247</v>
      </c>
    </row>
    <row r="111" spans="1:14">
      <c r="A111">
        <v>25</v>
      </c>
      <c r="C111" s="3">
        <v>5.1239992562718301E-2</v>
      </c>
      <c r="D111" s="3">
        <v>5.65196275738429E-2</v>
      </c>
      <c r="E111" s="3">
        <v>6.2512388449983899E-2</v>
      </c>
      <c r="F111" s="3">
        <v>6.5828930322162402E-2</v>
      </c>
      <c r="G111" s="3">
        <v>6.9394153215305496E-2</v>
      </c>
      <c r="H111" s="3">
        <v>7.7405570308547098E-2</v>
      </c>
      <c r="I111" s="3">
        <v>8.68849143590366E-2</v>
      </c>
      <c r="J111" s="3">
        <v>9.2049288486500305E-2</v>
      </c>
      <c r="K111" s="3">
        <v>9.8323025713340895E-2</v>
      </c>
      <c r="L111" s="3">
        <v>0.10499403981930799</v>
      </c>
      <c r="M111" s="3">
        <v>0.11245967515828501</v>
      </c>
      <c r="N111" s="3">
        <v>0.130462725106269</v>
      </c>
    </row>
    <row r="112" spans="1:14">
      <c r="A112">
        <v>26</v>
      </c>
      <c r="C112" s="3">
        <v>5.0905191800398902E-2</v>
      </c>
      <c r="D112" s="3">
        <v>5.62125104007343E-2</v>
      </c>
      <c r="E112" s="3">
        <v>6.2234267633634897E-2</v>
      </c>
      <c r="F112" s="3">
        <v>6.5565796134019194E-2</v>
      </c>
      <c r="G112" s="3">
        <v>6.91463222189896E-2</v>
      </c>
      <c r="H112" s="3">
        <v>7.7189237763407206E-2</v>
      </c>
      <c r="I112" s="3">
        <v>8.6701101449926293E-2</v>
      </c>
      <c r="J112" s="3">
        <v>9.1881228089399303E-2</v>
      </c>
      <c r="K112" s="3">
        <v>9.8172409985036499E-2</v>
      </c>
      <c r="L112" s="3">
        <v>0.10486010885878699</v>
      </c>
      <c r="M112" s="3">
        <v>0.112342360087164</v>
      </c>
      <c r="N112" s="3">
        <v>0.13037791330137499</v>
      </c>
    </row>
    <row r="113" spans="1:14">
      <c r="A113">
        <v>27</v>
      </c>
      <c r="C113" s="3">
        <v>5.0551571853773E-2</v>
      </c>
      <c r="D113" s="3">
        <v>5.5888253891772703E-2</v>
      </c>
      <c r="E113" s="3">
        <v>6.1940914588630297E-2</v>
      </c>
      <c r="F113" s="3">
        <v>6.5288484091151705E-2</v>
      </c>
      <c r="G113" s="3">
        <v>6.8885445080760499E-2</v>
      </c>
      <c r="H113" s="3">
        <v>7.6962391855947998E-2</v>
      </c>
      <c r="I113" s="3">
        <v>8.6509744508747793E-2</v>
      </c>
      <c r="J113" s="3">
        <v>9.1707224683946695E-2</v>
      </c>
      <c r="K113" s="3">
        <v>9.8017777209347498E-2</v>
      </c>
      <c r="L113" s="3">
        <v>0.104724183160991</v>
      </c>
      <c r="M113" s="3">
        <v>0.112225279058786</v>
      </c>
      <c r="N113" s="3">
        <v>0.13029854619439199</v>
      </c>
    </row>
    <row r="114" spans="1:14">
      <c r="A114">
        <v>28</v>
      </c>
      <c r="C114" s="3">
        <v>5.0164061165649601E-2</v>
      </c>
      <c r="D114" s="3">
        <v>5.55311258644553E-2</v>
      </c>
      <c r="E114" s="3">
        <v>6.1615825247410598E-2</v>
      </c>
      <c r="F114" s="3">
        <v>6.4980053655344996E-2</v>
      </c>
      <c r="G114" s="3">
        <v>6.8594105213982404E-2</v>
      </c>
      <c r="H114" s="3">
        <v>7.6706522651846298E-2</v>
      </c>
      <c r="I114" s="3">
        <v>8.6291003098906693E-2</v>
      </c>
      <c r="J114" s="3">
        <v>9.1506698626117794E-2</v>
      </c>
      <c r="K114" s="3">
        <v>9.7837638060182405E-2</v>
      </c>
      <c r="L114" s="3">
        <v>0.104563793834865</v>
      </c>
      <c r="M114" s="3">
        <v>0.112084854101002</v>
      </c>
      <c r="N114" s="3">
        <v>0.130198327666597</v>
      </c>
    </row>
    <row r="115" spans="1:14">
      <c r="A115">
        <v>29</v>
      </c>
      <c r="C115" s="3">
        <v>4.9753016067119897E-2</v>
      </c>
      <c r="D115" s="3">
        <v>5.5152237322925603E-2</v>
      </c>
      <c r="E115" s="3">
        <v>6.1271000613963698E-2</v>
      </c>
      <c r="F115" s="3">
        <v>6.4653013202902399E-2</v>
      </c>
      <c r="G115" s="3">
        <v>6.8285367876127406E-2</v>
      </c>
      <c r="H115" s="3">
        <v>7.64359886967165E-2</v>
      </c>
      <c r="I115" s="3">
        <v>8.6060837356245701E-2</v>
      </c>
      <c r="J115" s="3">
        <v>9.12965133850243E-2</v>
      </c>
      <c r="K115" s="3">
        <v>9.7649981093607105E-2</v>
      </c>
      <c r="L115" s="3">
        <v>0.104398157606629</v>
      </c>
      <c r="M115" s="3">
        <v>0.11194171333092399</v>
      </c>
      <c r="N115" s="3">
        <v>0.13010143729913101</v>
      </c>
    </row>
    <row r="116" spans="1:14">
      <c r="A116">
        <v>30</v>
      </c>
      <c r="C116" s="3">
        <v>4.92884906409796E-2</v>
      </c>
      <c r="D116" s="3">
        <v>5.4720176487018303E-2</v>
      </c>
      <c r="E116" s="3">
        <v>6.0873310806192099E-2</v>
      </c>
      <c r="F116" s="3">
        <v>6.4273258629794994E-2</v>
      </c>
      <c r="G116" s="3">
        <v>6.7924064097517195E-2</v>
      </c>
      <c r="H116" s="3">
        <v>7.61131658885391E-2</v>
      </c>
      <c r="I116" s="3">
        <v>8.5778617202159305E-2</v>
      </c>
      <c r="J116" s="3">
        <v>9.1034359954446198E-2</v>
      </c>
      <c r="K116" s="3">
        <v>9.7410422472540906E-2</v>
      </c>
      <c r="L116" s="3">
        <v>0.104180645730264</v>
      </c>
      <c r="M116" s="3">
        <v>0.111746673104547</v>
      </c>
      <c r="N116" s="3">
        <v>0.129952373158956</v>
      </c>
    </row>
    <row r="117" spans="1:14">
      <c r="A117">
        <v>31</v>
      </c>
      <c r="C117" s="3">
        <v>4.8779061037427497E-2</v>
      </c>
      <c r="D117" s="3">
        <v>5.4244132997400399E-2</v>
      </c>
      <c r="E117" s="3">
        <v>6.0432663325931398E-2</v>
      </c>
      <c r="F117" s="3">
        <v>6.3851104049116703E-2</v>
      </c>
      <c r="G117" s="3">
        <v>6.7520952153985195E-2</v>
      </c>
      <c r="H117" s="3">
        <v>7.5749835767966706E-2</v>
      </c>
      <c r="I117" s="3">
        <v>8.5457376248226302E-2</v>
      </c>
      <c r="J117" s="3">
        <v>9.0733971179762493E-2</v>
      </c>
      <c r="K117" s="3">
        <v>9.7133559272363501E-2</v>
      </c>
      <c r="L117" s="3">
        <v>0.103926790648316</v>
      </c>
      <c r="M117" s="3">
        <v>0.111516330925975</v>
      </c>
      <c r="N117" s="3">
        <v>0.12977036978005099</v>
      </c>
    </row>
    <row r="118" spans="1:14">
      <c r="A118">
        <v>32</v>
      </c>
      <c r="C118" s="3">
        <v>4.8205852293418297E-2</v>
      </c>
      <c r="D118" s="3">
        <v>5.3704362263900497E-2</v>
      </c>
      <c r="E118" s="3">
        <v>5.9928290760647998E-2</v>
      </c>
      <c r="F118" s="3">
        <v>6.3365200357391099E-2</v>
      </c>
      <c r="G118" s="3">
        <v>6.7054045699743506E-2</v>
      </c>
      <c r="H118" s="3">
        <v>7.5322537044741497E-2</v>
      </c>
      <c r="I118" s="3">
        <v>8.5071836338899906E-2</v>
      </c>
      <c r="J118" s="3">
        <v>9.0369048814528299E-2</v>
      </c>
      <c r="K118" s="3">
        <v>9.6791827308003495E-2</v>
      </c>
      <c r="L118" s="3">
        <v>0.10360765183288601</v>
      </c>
      <c r="M118" s="3">
        <v>0.111220171451126</v>
      </c>
      <c r="N118" s="3">
        <v>0.129520978693312</v>
      </c>
    </row>
    <row r="119" spans="1:14">
      <c r="A119">
        <v>33</v>
      </c>
      <c r="C119" s="3">
        <v>4.7591526409070002E-2</v>
      </c>
      <c r="D119" s="3">
        <v>5.3124906384514697E-2</v>
      </c>
      <c r="E119" s="3">
        <v>5.9385851973299902E-2</v>
      </c>
      <c r="F119" s="3">
        <v>6.2842123045507597E-2</v>
      </c>
      <c r="G119" s="3">
        <v>6.6550922193321899E-2</v>
      </c>
      <c r="H119" s="3">
        <v>7.4861158158121596E-2</v>
      </c>
      <c r="I119" s="3">
        <v>8.4654718459494793E-2</v>
      </c>
      <c r="J119" s="3">
        <v>8.9973897942096495E-2</v>
      </c>
      <c r="K119" s="3">
        <v>9.6421491705352094E-2</v>
      </c>
      <c r="L119" s="3">
        <v>0.103261618409006</v>
      </c>
      <c r="M119" s="3">
        <v>0.110899005552901</v>
      </c>
      <c r="N119" s="3">
        <v>0.12925102118794299</v>
      </c>
    </row>
    <row r="120" spans="1:14">
      <c r="A120">
        <v>34</v>
      </c>
      <c r="C120" s="3">
        <v>4.69173617307828E-2</v>
      </c>
      <c r="D120" s="3">
        <v>5.2486247161365997E-2</v>
      </c>
      <c r="E120" s="3">
        <v>5.8784896374020901E-2</v>
      </c>
      <c r="F120" s="3">
        <v>6.2260893363760297E-2</v>
      </c>
      <c r="G120" s="3">
        <v>6.5990025998316104E-2</v>
      </c>
      <c r="H120" s="3">
        <v>7.4342814929458406E-2</v>
      </c>
      <c r="I120" s="3">
        <v>8.4181514375406399E-2</v>
      </c>
      <c r="J120" s="3">
        <v>8.9523104334418804E-2</v>
      </c>
      <c r="K120" s="3">
        <v>9.59960195719015E-2</v>
      </c>
      <c r="L120" s="3">
        <v>0.102860948230385</v>
      </c>
      <c r="M120" s="3">
        <v>0.11052371613165</v>
      </c>
      <c r="N120" s="3">
        <v>0.12892798505629399</v>
      </c>
    </row>
    <row r="121" spans="1:14">
      <c r="A121">
        <v>35</v>
      </c>
      <c r="C121" s="3">
        <v>4.61924923944316E-2</v>
      </c>
      <c r="D121" s="3">
        <v>5.1798200232530602E-2</v>
      </c>
      <c r="E121" s="3">
        <v>5.8136038952643701E-2</v>
      </c>
      <c r="F121" s="3">
        <v>6.1632580049578597E-2</v>
      </c>
      <c r="G121" s="3">
        <v>6.5382922357438603E-2</v>
      </c>
      <c r="H121" s="3">
        <v>7.3780220033605903E-2</v>
      </c>
      <c r="I121" s="3">
        <v>8.3666347994546503E-2</v>
      </c>
      <c r="J121" s="3">
        <v>8.9031583674595294E-2</v>
      </c>
      <c r="K121" s="3">
        <v>9.5531308967228598E-2</v>
      </c>
      <c r="L121" s="3">
        <v>0.10242260741697699</v>
      </c>
      <c r="M121" s="3">
        <v>0.110112491713627</v>
      </c>
      <c r="N121" s="3">
        <v>0.12857311480798</v>
      </c>
    </row>
    <row r="122" spans="1:14">
      <c r="A122">
        <v>36</v>
      </c>
      <c r="C122" s="3">
        <v>4.5381295312469302E-2</v>
      </c>
      <c r="D122" s="3">
        <v>5.1023456642943603E-2</v>
      </c>
      <c r="E122" s="3">
        <v>5.7399992601013597E-2</v>
      </c>
      <c r="F122" s="3">
        <v>6.0916773016361801E-2</v>
      </c>
      <c r="G122" s="3">
        <v>6.4687972480175104E-2</v>
      </c>
      <c r="H122" s="3">
        <v>7.3128896194870105E-2</v>
      </c>
      <c r="I122" s="3">
        <v>8.3061254524086095E-2</v>
      </c>
      <c r="J122" s="3">
        <v>8.8449416815827103E-2</v>
      </c>
      <c r="K122" s="3">
        <v>9.4975018679218204E-2</v>
      </c>
      <c r="L122" s="3">
        <v>0.10189162523301</v>
      </c>
      <c r="M122" s="3">
        <v>0.109607357264547</v>
      </c>
      <c r="N122" s="3">
        <v>0.128120950686018</v>
      </c>
    </row>
    <row r="123" spans="1:14">
      <c r="A123">
        <v>37</v>
      </c>
      <c r="C123" s="3">
        <v>4.4521752806172397E-2</v>
      </c>
      <c r="D123" s="3">
        <v>5.02021675584945E-2</v>
      </c>
      <c r="E123" s="3">
        <v>5.6619446592962697E-2</v>
      </c>
      <c r="F123" s="3">
        <v>6.0157599429310503E-2</v>
      </c>
      <c r="G123" s="3">
        <v>6.3950874515629003E-2</v>
      </c>
      <c r="H123" s="3">
        <v>7.2438162382893301E-2</v>
      </c>
      <c r="I123" s="3">
        <v>8.2419987352154597E-2</v>
      </c>
      <c r="J123" s="3">
        <v>8.7832835956351898E-2</v>
      </c>
      <c r="K123" s="3">
        <v>9.4386447335150003E-2</v>
      </c>
      <c r="L123" s="3">
        <v>0.101330622855254</v>
      </c>
      <c r="M123" s="3">
        <v>0.10907472232973001</v>
      </c>
      <c r="N123" s="3">
        <v>0.12764730782856901</v>
      </c>
    </row>
    <row r="124" spans="1:14">
      <c r="A124">
        <v>38</v>
      </c>
      <c r="C124" s="3">
        <v>4.3577689591801597E-2</v>
      </c>
      <c r="D124" s="3">
        <v>4.9296523094827203E-2</v>
      </c>
      <c r="E124" s="3">
        <v>5.5754677854442998E-2</v>
      </c>
      <c r="F124" s="3">
        <v>5.9314252329208297E-2</v>
      </c>
      <c r="G124" s="3">
        <v>6.3129637347572695E-2</v>
      </c>
      <c r="H124" s="3">
        <v>7.1663298722512203E-2</v>
      </c>
      <c r="I124" s="3">
        <v>8.1694486279322395E-2</v>
      </c>
      <c r="J124" s="3">
        <v>8.7131914705165806E-2</v>
      </c>
      <c r="K124" s="3">
        <v>9.3713361163965503E-2</v>
      </c>
      <c r="L124" s="3">
        <v>0.100684868078733</v>
      </c>
      <c r="M124" s="3">
        <v>0.10845700828744199</v>
      </c>
      <c r="N124" s="3">
        <v>0.127087552137716</v>
      </c>
    </row>
    <row r="125" spans="1:14">
      <c r="A125">
        <v>39</v>
      </c>
      <c r="C125" s="3">
        <v>4.25567128206766E-2</v>
      </c>
      <c r="D125" s="3">
        <v>4.83147194803056E-2</v>
      </c>
      <c r="E125" s="3">
        <v>5.4814568048966901E-2</v>
      </c>
      <c r="F125" s="3">
        <v>5.8395999905743401E-2</v>
      </c>
      <c r="G125" s="3">
        <v>6.2233950056843901E-2</v>
      </c>
      <c r="H125" s="3">
        <v>7.0814959026968202E-2</v>
      </c>
      <c r="I125" s="3">
        <v>8.08965771116954E-2</v>
      </c>
      <c r="J125" s="3">
        <v>8.6359129721111594E-2</v>
      </c>
      <c r="K125" s="3">
        <v>9.2969037941083604E-2</v>
      </c>
      <c r="L125" s="3">
        <v>9.9968501886681299E-2</v>
      </c>
      <c r="M125" s="3">
        <v>0.10776933449132101</v>
      </c>
      <c r="N125" s="3">
        <v>0.12645920660445001</v>
      </c>
    </row>
    <row r="126" spans="1:14">
      <c r="A126">
        <v>40</v>
      </c>
      <c r="C126" s="3">
        <v>4.1451279936702397E-2</v>
      </c>
      <c r="D126" s="3">
        <v>4.7249057146530403E-2</v>
      </c>
      <c r="E126" s="3">
        <v>5.37912313130244E-2</v>
      </c>
      <c r="F126" s="3">
        <v>5.7394849616900098E-2</v>
      </c>
      <c r="G126" s="3">
        <v>6.1255702659459399E-2</v>
      </c>
      <c r="H126" s="3">
        <v>6.9884759290726406E-2</v>
      </c>
      <c r="I126" s="3">
        <v>8.0017534367637894E-2</v>
      </c>
      <c r="J126" s="3">
        <v>8.5505562013143202E-2</v>
      </c>
      <c r="K126" s="3">
        <v>9.2144316829762402E-2</v>
      </c>
      <c r="L126" s="3">
        <v>9.9172098448453205E-2</v>
      </c>
      <c r="M126" s="3">
        <v>0.10700196937227301</v>
      </c>
      <c r="N126" s="3">
        <v>0.12575176485897299</v>
      </c>
    </row>
    <row r="127" spans="1:14">
      <c r="A127">
        <v>41</v>
      </c>
      <c r="C127" s="3">
        <v>4.0269836156702099E-2</v>
      </c>
      <c r="D127" s="3">
        <v>4.6108660254834198E-2</v>
      </c>
      <c r="E127" s="3">
        <v>5.26945852936819E-2</v>
      </c>
      <c r="F127" s="3">
        <v>5.6321168246134402E-2</v>
      </c>
      <c r="G127" s="3">
        <v>6.0205752398072999E-2</v>
      </c>
      <c r="H127" s="3">
        <v>6.8884686495026506E-2</v>
      </c>
      <c r="I127" s="3">
        <v>7.9070728038184199E-2</v>
      </c>
      <c r="J127" s="3">
        <v>8.4585354690993306E-2</v>
      </c>
      <c r="K127" s="3">
        <v>9.1254297583290206E-2</v>
      </c>
      <c r="L127" s="3">
        <v>9.8311794576392997E-2</v>
      </c>
      <c r="M127" s="3">
        <v>0.106172233077153</v>
      </c>
      <c r="N127" s="3">
        <v>0.124985490231534</v>
      </c>
    </row>
    <row r="128" spans="1:14">
      <c r="A128">
        <v>42</v>
      </c>
      <c r="C128" s="3">
        <v>3.8988111237469203E-2</v>
      </c>
      <c r="D128" s="3">
        <v>4.4868304135133701E-2</v>
      </c>
      <c r="E128" s="3">
        <v>5.1498287524039302E-2</v>
      </c>
      <c r="F128" s="3">
        <v>5.5147979655149199E-2</v>
      </c>
      <c r="G128" s="3">
        <v>5.9056430466247901E-2</v>
      </c>
      <c r="H128" s="3">
        <v>6.7785473977692301E-2</v>
      </c>
      <c r="I128" s="3">
        <v>7.8024931868235795E-2</v>
      </c>
      <c r="J128" s="3">
        <v>8.3566184765359805E-2</v>
      </c>
      <c r="K128" s="3">
        <v>9.0265299125550896E-2</v>
      </c>
      <c r="L128" s="3">
        <v>9.7352435929935005E-2</v>
      </c>
      <c r="M128" s="3">
        <v>0.10524328918142201</v>
      </c>
      <c r="N128" s="3">
        <v>0.12411935931205299</v>
      </c>
    </row>
    <row r="129" spans="1:14">
      <c r="A129">
        <v>43</v>
      </c>
      <c r="C129" s="3">
        <v>3.7613471414481001E-2</v>
      </c>
      <c r="D129" s="3">
        <v>4.3535976676716999E-2</v>
      </c>
      <c r="E129" s="3">
        <v>5.0211049106826597E-2</v>
      </c>
      <c r="F129" s="3">
        <v>5.3884402755196202E-2</v>
      </c>
      <c r="G129" s="3">
        <v>5.7817299847125699E-2</v>
      </c>
      <c r="H129" s="3">
        <v>6.6597702707836201E-2</v>
      </c>
      <c r="I129" s="3">
        <v>7.6891963963478902E-2</v>
      </c>
      <c r="J129" s="3">
        <v>8.2460557676964197E-2</v>
      </c>
      <c r="K129" s="3">
        <v>8.9190673281270103E-2</v>
      </c>
      <c r="L129" s="3">
        <v>9.6308286815570895E-2</v>
      </c>
      <c r="M129" s="3">
        <v>0.10423043688224801</v>
      </c>
      <c r="N129" s="3">
        <v>0.123171216948984</v>
      </c>
    </row>
    <row r="130" spans="1:14">
      <c r="A130">
        <v>44</v>
      </c>
      <c r="C130" s="3">
        <v>3.6154700747933803E-2</v>
      </c>
      <c r="D130" s="3">
        <v>4.2121212741293698E-2</v>
      </c>
      <c r="E130" s="3">
        <v>4.8843284316268401E-2</v>
      </c>
      <c r="F130" s="3">
        <v>5.25413505491076E-2</v>
      </c>
      <c r="G130" s="3">
        <v>5.64998189628498E-2</v>
      </c>
      <c r="H130" s="3">
        <v>6.5334090698102407E-2</v>
      </c>
      <c r="I130" s="3">
        <v>7.5686090643246703E-2</v>
      </c>
      <c r="J130" s="3">
        <v>8.1283608370889604E-2</v>
      </c>
      <c r="K130" s="3">
        <v>8.8046632936065405E-2</v>
      </c>
      <c r="L130" s="3">
        <v>9.5196732607149698E-2</v>
      </c>
      <c r="M130" s="3">
        <v>0.10315240444641099</v>
      </c>
      <c r="N130" s="3">
        <v>0.122163154726879</v>
      </c>
    </row>
    <row r="131" spans="1:14">
      <c r="A131">
        <v>45</v>
      </c>
      <c r="C131" s="3">
        <v>3.4567937085917502E-2</v>
      </c>
      <c r="D131" s="3">
        <v>4.0578308083940799E-2</v>
      </c>
      <c r="E131" s="3">
        <v>4.7347134954737698E-2</v>
      </c>
      <c r="F131" s="3">
        <v>5.1069745216874199E-2</v>
      </c>
      <c r="G131" s="3">
        <v>5.5053577869558598E-2</v>
      </c>
      <c r="H131" s="3">
        <v>6.3941158646261195E-2</v>
      </c>
      <c r="I131" s="3">
        <v>7.4350073880599901E-2</v>
      </c>
      <c r="J131" s="3">
        <v>7.99759972118715E-2</v>
      </c>
      <c r="K131" s="3">
        <v>8.6771237631406303E-2</v>
      </c>
      <c r="L131" s="3">
        <v>9.3953013045368503E-2</v>
      </c>
      <c r="M131" s="3">
        <v>0.101941213687439</v>
      </c>
      <c r="N131" s="3">
        <v>0.121019189026369</v>
      </c>
    </row>
    <row r="132" spans="1:14">
      <c r="A132">
        <v>46</v>
      </c>
      <c r="C132" s="3">
        <v>3.2876991721625899E-2</v>
      </c>
      <c r="D132" s="3">
        <v>3.8932520455854998E-2</v>
      </c>
      <c r="E132" s="3">
        <v>4.5749543708524999E-2</v>
      </c>
      <c r="F132" s="3">
        <v>4.94974805918421E-2</v>
      </c>
      <c r="G132" s="3">
        <v>5.3507506986869798E-2</v>
      </c>
      <c r="H132" s="3">
        <v>6.2450216669055501E-2</v>
      </c>
      <c r="I132" s="3">
        <v>7.2918122397577403E-2</v>
      </c>
      <c r="J132" s="3">
        <v>7.8573546573624101E-2</v>
      </c>
      <c r="K132" s="3">
        <v>8.5402300047337606E-2</v>
      </c>
      <c r="L132" s="3">
        <v>9.2617090675351094E-2</v>
      </c>
      <c r="M132" s="3">
        <v>0.10063927074226001</v>
      </c>
      <c r="N132" s="3">
        <v>0.11978776186097501</v>
      </c>
    </row>
    <row r="133" spans="1:14">
      <c r="A133">
        <v>47</v>
      </c>
      <c r="C133" s="3">
        <v>3.1072107874855599E-2</v>
      </c>
      <c r="D133" s="3">
        <v>3.7173985883497102E-2</v>
      </c>
      <c r="E133" s="3">
        <v>4.4040522741660003E-2</v>
      </c>
      <c r="F133" s="3">
        <v>4.7814499433318898E-2</v>
      </c>
      <c r="G133" s="3">
        <v>5.1851473882766598E-2</v>
      </c>
      <c r="H133" s="3">
        <v>6.0850961580481498E-2</v>
      </c>
      <c r="I133" s="3">
        <v>7.1379728728451303E-2</v>
      </c>
      <c r="J133" s="3">
        <v>7.7065637112680399E-2</v>
      </c>
      <c r="K133" s="3">
        <v>8.39290647079841E-2</v>
      </c>
      <c r="L133" s="3">
        <v>9.1178065319953899E-2</v>
      </c>
      <c r="M133" s="3">
        <v>9.9235513936851094E-2</v>
      </c>
      <c r="N133" s="3">
        <v>0.118457426137037</v>
      </c>
    </row>
    <row r="134" spans="1:14">
      <c r="A134">
        <v>48</v>
      </c>
      <c r="C134" s="3">
        <v>2.9142501811365702E-2</v>
      </c>
      <c r="D134" s="3">
        <v>3.5291777272745198E-2</v>
      </c>
      <c r="E134" s="3">
        <v>4.2208978177423299E-2</v>
      </c>
      <c r="F134" s="3">
        <v>4.6009613852445203E-2</v>
      </c>
      <c r="G134" s="3">
        <v>5.0074188347398803E-2</v>
      </c>
      <c r="H134" s="3">
        <v>5.9131868896402498E-2</v>
      </c>
      <c r="I134" s="3">
        <v>6.9723084410547601E-2</v>
      </c>
      <c r="J134" s="3">
        <v>7.5440303013834004E-2</v>
      </c>
      <c r="K134" s="3">
        <v>8.2339372502864994E-2</v>
      </c>
      <c r="L134" s="3">
        <v>8.9623570092530594E-2</v>
      </c>
      <c r="M134" s="3">
        <v>9.7717341544635405E-2</v>
      </c>
      <c r="N134" s="3">
        <v>0.11701500621463699</v>
      </c>
    </row>
    <row r="135" spans="1:14">
      <c r="A135">
        <v>49</v>
      </c>
      <c r="C135" s="3">
        <v>2.7076254671111501E-2</v>
      </c>
      <c r="D135" s="3">
        <v>3.3273789641420401E-2</v>
      </c>
      <c r="E135" s="3">
        <v>4.0242587243761702E-2</v>
      </c>
      <c r="F135" s="3">
        <v>4.4070377697282698E-2</v>
      </c>
      <c r="G135" s="3">
        <v>4.81630694233737E-2</v>
      </c>
      <c r="H135" s="3">
        <v>5.7280046916492897E-2</v>
      </c>
      <c r="I135" s="3">
        <v>6.7934917006456597E-2</v>
      </c>
      <c r="J135" s="3">
        <v>7.3684058886538395E-2</v>
      </c>
      <c r="K135" s="3">
        <v>8.06194744446702E-2</v>
      </c>
      <c r="L135" s="3">
        <v>8.7939570149601298E-2</v>
      </c>
      <c r="M135" s="3">
        <v>9.6070392424912193E-2</v>
      </c>
      <c r="N135" s="3">
        <v>0.11544532878470901</v>
      </c>
    </row>
    <row r="136" spans="1:14">
      <c r="A136">
        <v>50</v>
      </c>
      <c r="C136" s="3">
        <v>2.48601965252889E-2</v>
      </c>
      <c r="D136" s="3">
        <v>3.1106616879700101E-2</v>
      </c>
      <c r="E136" s="3">
        <v>3.8127666031997499E-2</v>
      </c>
      <c r="F136" s="3">
        <v>4.1982948983077403E-2</v>
      </c>
      <c r="G136" s="3">
        <v>4.6104101826354202E-2</v>
      </c>
      <c r="H136" s="3">
        <v>5.52810784943863E-2</v>
      </c>
      <c r="I136" s="3">
        <v>6.6000312384454904E-2</v>
      </c>
      <c r="J136" s="3">
        <v>7.1781710375752802E-2</v>
      </c>
      <c r="K136" s="3">
        <v>7.8753827049950195E-2</v>
      </c>
      <c r="L136" s="3">
        <v>8.6110140550628697E-2</v>
      </c>
      <c r="M136" s="3">
        <v>9.4278302563325506E-2</v>
      </c>
      <c r="N136" s="3">
        <v>0.113730919970188</v>
      </c>
    </row>
    <row r="137" spans="1:14">
      <c r="A137">
        <v>51</v>
      </c>
      <c r="C137" s="3">
        <v>2.2500371359558E-2</v>
      </c>
      <c r="D137" s="3">
        <v>2.8797002168985401E-2</v>
      </c>
      <c r="E137" s="3">
        <v>3.5871772174695102E-2</v>
      </c>
      <c r="F137" s="3">
        <v>3.9755345151233301E-2</v>
      </c>
      <c r="G137" s="3">
        <v>4.3905804193197402E-2</v>
      </c>
      <c r="H137" s="3">
        <v>5.3144633363692198E-2</v>
      </c>
      <c r="I137" s="3">
        <v>6.3930343721111699E-2</v>
      </c>
      <c r="J137" s="3">
        <v>6.9745112773841794E-2</v>
      </c>
      <c r="K137" s="3">
        <v>7.6755251227574206E-2</v>
      </c>
      <c r="L137" s="3">
        <v>8.4149146516115506E-2</v>
      </c>
      <c r="M137" s="3">
        <v>9.2356125938666198E-2</v>
      </c>
      <c r="N137" s="3">
        <v>0.11188977882710401</v>
      </c>
    </row>
    <row r="138" spans="1:14">
      <c r="A138">
        <v>52</v>
      </c>
      <c r="C138" s="3">
        <v>1.9983594712603098E-2</v>
      </c>
      <c r="D138" s="3">
        <v>2.63316171313181E-2</v>
      </c>
      <c r="E138" s="3">
        <v>3.34614116648018E-2</v>
      </c>
      <c r="F138" s="3">
        <v>3.7373979636650997E-2</v>
      </c>
      <c r="G138" s="3">
        <v>4.1554489844615398E-2</v>
      </c>
      <c r="H138" s="3">
        <v>5.08567979441076E-2</v>
      </c>
      <c r="I138" s="3">
        <v>6.1710826417770703E-2</v>
      </c>
      <c r="J138" s="3">
        <v>6.7559933073872799E-2</v>
      </c>
      <c r="K138" s="3">
        <v>7.4609233280853504E-2</v>
      </c>
      <c r="L138" s="3">
        <v>8.2041882022797996E-2</v>
      </c>
      <c r="M138" s="3">
        <v>9.0288941397266606E-2</v>
      </c>
      <c r="N138" s="3">
        <v>0.10990646779669</v>
      </c>
    </row>
    <row r="139" spans="1:14">
      <c r="A139">
        <v>53</v>
      </c>
      <c r="C139" s="3">
        <v>1.72953735275257E-2</v>
      </c>
      <c r="D139" s="3">
        <v>2.3695782094075999E-2</v>
      </c>
      <c r="E139" s="3">
        <v>3.0881688663734499E-2</v>
      </c>
      <c r="F139" s="3">
        <v>3.4823835125613802E-2</v>
      </c>
      <c r="G139" s="3">
        <v>3.9035009512772501E-2</v>
      </c>
      <c r="H139" s="3">
        <v>4.8402121672290299E-2</v>
      </c>
      <c r="I139" s="3">
        <v>5.9325945776516398E-2</v>
      </c>
      <c r="J139" s="3">
        <v>6.5210155126708996E-2</v>
      </c>
      <c r="K139" s="3">
        <v>7.2299509744413806E-2</v>
      </c>
      <c r="L139" s="3">
        <v>7.9771817805570702E-2</v>
      </c>
      <c r="M139" s="3">
        <v>8.8059919130898695E-2</v>
      </c>
      <c r="N139" s="3">
        <v>0.107763420997868</v>
      </c>
    </row>
    <row r="140" spans="1:14">
      <c r="A140">
        <v>54</v>
      </c>
      <c r="C140" s="3">
        <v>1.4419785404110701E-2</v>
      </c>
      <c r="D140" s="3">
        <v>2.0873338330565001E-2</v>
      </c>
      <c r="E140" s="3">
        <v>2.81161691146657E-2</v>
      </c>
      <c r="F140" s="3">
        <v>3.2088322079149002E-2</v>
      </c>
      <c r="G140" s="3">
        <v>3.6330604134455199E-2</v>
      </c>
      <c r="H140" s="3">
        <v>4.5763455891353E-2</v>
      </c>
      <c r="I140" s="3">
        <v>5.6758077517092401E-2</v>
      </c>
      <c r="J140" s="3">
        <v>6.26778892194087E-2</v>
      </c>
      <c r="K140" s="3">
        <v>6.9807862748092905E-2</v>
      </c>
      <c r="L140" s="3">
        <v>7.7320380458925406E-2</v>
      </c>
      <c r="M140" s="3">
        <v>8.5650080097092102E-2</v>
      </c>
      <c r="N140" s="3">
        <v>0.105440649334444</v>
      </c>
    </row>
    <row r="141" spans="1:14">
      <c r="A141">
        <v>55</v>
      </c>
      <c r="C141" s="3">
        <v>1.13622253927766E-2</v>
      </c>
      <c r="D141" s="3">
        <v>1.7870456660294801E-2</v>
      </c>
      <c r="E141" s="3">
        <v>2.5171929077923798E-2</v>
      </c>
      <c r="F141" s="3">
        <v>2.9175028408181099E-2</v>
      </c>
      <c r="G141" s="3">
        <v>3.34494202131113E-2</v>
      </c>
      <c r="H141" s="3">
        <v>4.2950232743343399E-2</v>
      </c>
      <c r="I141" s="3">
        <v>5.4018226617799397E-2</v>
      </c>
      <c r="J141" s="3">
        <v>5.9975019502510503E-2</v>
      </c>
      <c r="K141" s="3">
        <v>6.7147264603201903E-2</v>
      </c>
      <c r="L141" s="3">
        <v>7.4701722603853604E-2</v>
      </c>
      <c r="M141" s="3">
        <v>8.3074924983112697E-2</v>
      </c>
      <c r="N141" s="3">
        <v>0.102957014618903</v>
      </c>
    </row>
    <row r="142" spans="1:14">
      <c r="A142">
        <v>56</v>
      </c>
      <c r="C142" s="3">
        <v>8.08349771791801E-3</v>
      </c>
      <c r="D142" s="3">
        <v>1.46467423242549E-2</v>
      </c>
      <c r="E142" s="3">
        <v>2.20071803069509E-2</v>
      </c>
      <c r="F142" s="3">
        <v>2.6041380514933099E-2</v>
      </c>
      <c r="G142" s="3">
        <v>3.03480291325465E-2</v>
      </c>
      <c r="H142" s="3">
        <v>3.9917063548906499E-2</v>
      </c>
      <c r="I142" s="3">
        <v>5.1058620540202902E-2</v>
      </c>
      <c r="J142" s="3">
        <v>5.7052447295860897E-2</v>
      </c>
      <c r="K142" s="3">
        <v>6.4266981258602807E-2</v>
      </c>
      <c r="L142" s="3">
        <v>7.18633435041761E-2</v>
      </c>
      <c r="M142" s="3">
        <v>8.0279943954410099E-2</v>
      </c>
      <c r="N142" s="3">
        <v>0.100253034875775</v>
      </c>
    </row>
    <row r="143" spans="1:14">
      <c r="A143">
        <v>57</v>
      </c>
      <c r="C143" s="3">
        <v>4.5871947978259903E-3</v>
      </c>
      <c r="D143" s="3">
        <v>1.1206505045270701E-2</v>
      </c>
      <c r="E143" s="3">
        <v>1.8627066333457402E-2</v>
      </c>
      <c r="F143" s="3">
        <v>2.2692991903903802E-2</v>
      </c>
      <c r="G143" s="3">
        <v>2.7032556086694599E-2</v>
      </c>
      <c r="H143" s="3">
        <v>3.6671246560754302E-2</v>
      </c>
      <c r="I143" s="3">
        <v>4.7887984169005103E-2</v>
      </c>
      <c r="J143" s="3">
        <v>5.3919691014686202E-2</v>
      </c>
      <c r="K143" s="3">
        <v>6.1177509518894599E-2</v>
      </c>
      <c r="L143" s="3">
        <v>6.8816796619894302E-2</v>
      </c>
      <c r="M143" s="3">
        <v>7.7277891627261106E-2</v>
      </c>
      <c r="N143" s="3">
        <v>9.7344434309044506E-2</v>
      </c>
    </row>
    <row r="144" spans="1:14">
      <c r="A144">
        <v>58</v>
      </c>
      <c r="C144" s="3">
        <v>8.5463835119865296E-4</v>
      </c>
      <c r="D144" s="3">
        <v>7.5308615977066904E-3</v>
      </c>
      <c r="E144" s="3">
        <v>1.5012468019059999E-2</v>
      </c>
      <c r="F144" s="3">
        <v>1.91106115171252E-2</v>
      </c>
      <c r="G144" s="3">
        <v>2.34836072181899E-2</v>
      </c>
      <c r="H144" s="3">
        <v>3.3193063664640199E-2</v>
      </c>
      <c r="I144" s="3">
        <v>4.4486210513814101E-2</v>
      </c>
      <c r="J144" s="3">
        <v>5.0556429784227697E-2</v>
      </c>
      <c r="K144" s="3">
        <v>5.78582670237799E-2</v>
      </c>
      <c r="L144" s="3">
        <v>6.5541219785806196E-2</v>
      </c>
      <c r="M144" s="3">
        <v>7.4047590823911505E-2</v>
      </c>
      <c r="N144" s="3">
        <v>9.4209269373044094E-2</v>
      </c>
    </row>
    <row r="145" spans="1:14">
      <c r="A145">
        <v>59</v>
      </c>
      <c r="D145" s="3">
        <v>3.5994157741289601E-3</v>
      </c>
      <c r="E145" s="3">
        <v>1.11427065713787E-2</v>
      </c>
      <c r="F145" s="3">
        <v>1.5273401810670001E-2</v>
      </c>
      <c r="G145" s="3">
        <v>1.9680172536032201E-2</v>
      </c>
      <c r="H145" s="3">
        <v>2.9461110937816101E-2</v>
      </c>
      <c r="I145" s="3">
        <v>4.0831418799975198E-2</v>
      </c>
      <c r="J145" s="3">
        <v>4.6940518457148098E-2</v>
      </c>
      <c r="K145" s="3">
        <v>5.42867833451742E-2</v>
      </c>
      <c r="L145" s="3">
        <v>6.2013791937827398E-2</v>
      </c>
      <c r="M145" s="3">
        <v>7.0565822488882907E-2</v>
      </c>
      <c r="N145" s="3">
        <v>9.0823338116631305E-2</v>
      </c>
    </row>
    <row r="146" spans="1:14">
      <c r="A146">
        <v>60</v>
      </c>
      <c r="E146" s="3">
        <v>7.02501547793709E-3</v>
      </c>
      <c r="F146" s="3">
        <v>1.11892052729664E-2</v>
      </c>
      <c r="G146" s="3">
        <v>1.5630759053783701E-2</v>
      </c>
      <c r="H146" s="3">
        <v>2.5485424687407301E-2</v>
      </c>
      <c r="I146" s="3">
        <v>3.6935516381722197E-2</v>
      </c>
      <c r="J146" s="3">
        <v>4.3084910500284103E-2</v>
      </c>
      <c r="K146" s="3">
        <v>5.0477307123276298E-2</v>
      </c>
      <c r="L146" s="3">
        <v>5.8250167197733502E-2</v>
      </c>
      <c r="M146" s="3">
        <v>6.6849846946443095E-2</v>
      </c>
      <c r="N146" s="3">
        <v>8.7207911050749806E-2</v>
      </c>
    </row>
    <row r="147" spans="1:14">
      <c r="A147">
        <v>61</v>
      </c>
      <c r="E147" s="3">
        <v>2.6104119033939499E-3</v>
      </c>
      <c r="F147" s="3">
        <v>6.8082260262996401E-3</v>
      </c>
      <c r="G147" s="3">
        <v>1.1284687849067899E-2</v>
      </c>
      <c r="H147" s="3">
        <v>2.1213309617476601E-2</v>
      </c>
      <c r="I147" s="3">
        <v>3.2743369560413099E-2</v>
      </c>
      <c r="J147" s="3">
        <v>3.8933121900080199E-2</v>
      </c>
      <c r="K147" s="3">
        <v>4.6371694862374503E-2</v>
      </c>
      <c r="L147" s="3">
        <v>5.4190416041212303E-2</v>
      </c>
      <c r="M147" s="3">
        <v>6.2837711552406805E-2</v>
      </c>
      <c r="N147" s="3">
        <v>8.3296062164204099E-2</v>
      </c>
    </row>
    <row r="148" spans="1:14">
      <c r="A148">
        <v>62</v>
      </c>
      <c r="F148" s="3">
        <v>2.1053516554812601E-3</v>
      </c>
      <c r="G148" s="3">
        <v>6.6166163975111504E-3</v>
      </c>
      <c r="H148" s="3">
        <v>1.66188938457319E-2</v>
      </c>
      <c r="I148" s="3">
        <v>2.82284590082417E-2</v>
      </c>
      <c r="J148" s="3">
        <v>3.4458271342102602E-2</v>
      </c>
      <c r="K148" s="3">
        <v>4.1942616979537897E-2</v>
      </c>
      <c r="L148" s="3">
        <v>4.9806722197671197E-2</v>
      </c>
      <c r="M148" s="3">
        <v>5.8501043384889102E-2</v>
      </c>
      <c r="N148" s="3">
        <v>7.9058025434696005E-2</v>
      </c>
    </row>
    <row r="149" spans="1:14">
      <c r="A149">
        <v>63</v>
      </c>
      <c r="G149" s="3">
        <v>1.6347827412548099E-3</v>
      </c>
      <c r="H149" s="3">
        <v>1.17120188493294E-2</v>
      </c>
      <c r="I149" s="3">
        <v>2.34025761543513E-2</v>
      </c>
      <c r="J149" s="3">
        <v>2.96732352220659E-2</v>
      </c>
      <c r="K149" s="3">
        <v>3.7204288246636699E-2</v>
      </c>
      <c r="L149" s="3">
        <v>4.5114746984542202E-2</v>
      </c>
      <c r="M149" s="3">
        <v>5.3857149867324199E-2</v>
      </c>
      <c r="N149" s="3">
        <v>7.4515187934317897E-2</v>
      </c>
    </row>
    <row r="150" spans="1:14">
      <c r="A150">
        <v>64</v>
      </c>
      <c r="H150" s="3">
        <v>6.4722151543775003E-3</v>
      </c>
      <c r="I150" s="3">
        <v>1.8245346110562301E-2</v>
      </c>
      <c r="J150" s="3">
        <v>2.4557699552970401E-2</v>
      </c>
      <c r="K150" s="3">
        <v>3.21364778148635E-2</v>
      </c>
      <c r="L150" s="3">
        <v>4.0094359198555099E-2</v>
      </c>
      <c r="M150" s="3">
        <v>4.8886025322376597E-2</v>
      </c>
      <c r="N150" s="3">
        <v>6.9647908921088506E-2</v>
      </c>
    </row>
    <row r="151" spans="1:14">
      <c r="A151">
        <v>65</v>
      </c>
      <c r="H151" s="3">
        <v>8.3910972249958305E-4</v>
      </c>
      <c r="I151" s="3">
        <v>1.26937951435425E-2</v>
      </c>
      <c r="J151" s="3">
        <v>1.90472499232919E-2</v>
      </c>
      <c r="K151" s="3">
        <v>2.6673000218628E-2</v>
      </c>
      <c r="L151" s="3">
        <v>3.4677466569845203E-2</v>
      </c>
      <c r="M151" s="3">
        <v>4.3517416608695701E-2</v>
      </c>
      <c r="N151" s="3">
        <v>6.4380618427209393E-2</v>
      </c>
    </row>
    <row r="152" spans="1:14">
      <c r="A152">
        <v>66</v>
      </c>
      <c r="I152" s="3">
        <v>6.71983982602234E-3</v>
      </c>
      <c r="J152" s="3">
        <v>1.31135477513815E-2</v>
      </c>
      <c r="K152" s="3">
        <v>2.07851981506764E-2</v>
      </c>
      <c r="L152" s="3">
        <v>2.8835062577252098E-2</v>
      </c>
      <c r="M152" s="3">
        <v>3.77219140703473E-2</v>
      </c>
      <c r="N152" s="3">
        <v>5.8682882492150402E-2</v>
      </c>
    </row>
    <row r="153" spans="1:14">
      <c r="A153">
        <v>67</v>
      </c>
      <c r="I153" s="3">
        <v>3.4453558848501401E-4</v>
      </c>
      <c r="J153" s="3">
        <v>6.7792183428391503E-3</v>
      </c>
      <c r="K153" s="3">
        <v>1.4497630626986099E-2</v>
      </c>
      <c r="L153" s="3">
        <v>2.25937932812478E-2</v>
      </c>
      <c r="M153" s="3">
        <v>3.15285357506895E-2</v>
      </c>
      <c r="N153" s="3">
        <v>5.2589588589217799E-2</v>
      </c>
    </row>
    <row r="154" spans="1:14">
      <c r="A154">
        <v>68</v>
      </c>
      <c r="K154" s="3">
        <v>7.7450583543730699E-3</v>
      </c>
      <c r="L154" s="3">
        <v>1.58868549473462E-2</v>
      </c>
      <c r="M154" s="3">
        <v>2.4868709459045801E-2</v>
      </c>
      <c r="N154" s="3">
        <v>4.6027833598730701E-2</v>
      </c>
    </row>
    <row r="155" spans="1:14">
      <c r="A155">
        <v>69</v>
      </c>
      <c r="K155" s="3">
        <v>5.1006315575488105E-4</v>
      </c>
      <c r="L155" s="3">
        <v>8.6973017847603099E-3</v>
      </c>
      <c r="M155" s="3">
        <v>1.7726027607965301E-2</v>
      </c>
      <c r="N155" s="3">
        <v>3.8982551194180898E-2</v>
      </c>
    </row>
    <row r="156" spans="1:14">
      <c r="A156">
        <v>70</v>
      </c>
      <c r="L156" s="3">
        <v>9.5286671836922405E-4</v>
      </c>
      <c r="M156" s="3">
        <v>1.00263164355444E-2</v>
      </c>
      <c r="N156" s="3">
        <v>3.1374852786449102E-2</v>
      </c>
    </row>
    <row r="157" spans="1:14">
      <c r="A157">
        <v>71</v>
      </c>
      <c r="M157" s="3">
        <v>1.7562713977749E-3</v>
      </c>
      <c r="N157" s="3">
        <v>2.3193275052206301E-2</v>
      </c>
    </row>
    <row r="158" spans="1:14">
      <c r="A158">
        <v>72</v>
      </c>
      <c r="N158" s="3">
        <v>1.4444917926143001E-2</v>
      </c>
    </row>
    <row r="159" spans="1:14">
      <c r="A159">
        <v>73</v>
      </c>
      <c r="N159" s="3">
        <v>4.9794086047308004E-3</v>
      </c>
    </row>
    <row r="160" spans="1:14">
      <c r="A160">
        <v>74</v>
      </c>
    </row>
    <row r="161" spans="1:1">
      <c r="A161">
        <v>75</v>
      </c>
    </row>
    <row r="162" spans="1:1">
      <c r="A162">
        <v>76</v>
      </c>
    </row>
    <row r="163" spans="1:1">
      <c r="A163">
        <v>77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Amortiss</vt:lpstr>
      <vt:lpstr>Britain</vt:lpstr>
      <vt:lpstr>Cambon</vt:lpstr>
      <vt:lpstr>Debt</vt:lpstr>
      <vt:lpstr>Divers</vt:lpstr>
      <vt:lpstr>Experim</vt:lpstr>
      <vt:lpstr>Indes</vt:lpstr>
      <vt:lpstr>Interest</vt:lpstr>
      <vt:lpstr>Irr-matr</vt:lpstr>
      <vt:lpstr>Macro</vt:lpstr>
      <vt:lpstr>Militspe</vt:lpstr>
      <vt:lpstr>Mortalit</vt:lpstr>
      <vt:lpstr>P-Etat</vt:lpstr>
      <vt:lpstr>Path2</vt:lpstr>
      <vt:lpstr>Policy</vt:lpstr>
      <vt:lpstr>Popul</vt:lpstr>
      <vt:lpstr>Rate-mon</vt:lpstr>
      <vt:lpstr>Rentier1</vt:lpstr>
      <vt:lpstr>Return</vt:lpstr>
      <vt:lpstr>Revenues</vt:lpstr>
      <vt:lpstr>Studies</vt:lpstr>
      <vt:lpstr>Studies2</vt:lpstr>
      <vt:lpstr>Units</vt:lpstr>
      <vt:lpstr>Viager</vt:lpstr>
      <vt:lpstr>White</vt:lpstr>
      <vt:lpstr>Viagere</vt:lpstr>
      <vt:lpstr>Yearly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R. Velde</dc:creator>
  <cp:lastModifiedBy>g1frv00</cp:lastModifiedBy>
  <dcterms:created xsi:type="dcterms:W3CDTF">2012-03-08T09:59:47Z</dcterms:created>
  <dcterms:modified xsi:type="dcterms:W3CDTF">2012-03-08T16:11:00Z</dcterms:modified>
</cp:coreProperties>
</file>